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320" windowHeight="9975"/>
  </bookViews>
  <sheets>
    <sheet name="sierpień autop" sheetId="3" r:id="rId1"/>
  </sheets>
  <definedNames>
    <definedName name="_xlnm.Print_Area" localSheetId="0">'sierpień autop'!$A$1:$W$493</definedName>
    <definedName name="_xlnm.Print_Titles" localSheetId="0">'sierpień autop'!$2:$3</definedName>
  </definedNames>
  <calcPr calcId="125725"/>
</workbook>
</file>

<file path=xl/calcChain.xml><?xml version="1.0" encoding="utf-8"?>
<calcChain xmlns="http://schemas.openxmlformats.org/spreadsheetml/2006/main">
  <c r="W113" i="3"/>
  <c r="W297" l="1"/>
  <c r="H504"/>
  <c r="H505"/>
  <c r="R505"/>
  <c r="I505"/>
  <c r="J505"/>
  <c r="K505"/>
  <c r="L505"/>
  <c r="M505"/>
  <c r="N505"/>
  <c r="O505"/>
  <c r="P505"/>
  <c r="Q505"/>
  <c r="L499"/>
  <c r="M499"/>
  <c r="N499"/>
  <c r="O499"/>
  <c r="P499"/>
  <c r="Q499"/>
  <c r="R499"/>
  <c r="S499"/>
  <c r="T499"/>
  <c r="U499"/>
  <c r="V499"/>
  <c r="W499"/>
  <c r="I302"/>
  <c r="J302"/>
  <c r="H302"/>
  <c r="I490"/>
  <c r="J490"/>
  <c r="K490"/>
  <c r="L490"/>
  <c r="M490"/>
  <c r="N490"/>
  <c r="O490"/>
  <c r="P490"/>
  <c r="Q490"/>
  <c r="R490"/>
  <c r="S490"/>
  <c r="T490"/>
  <c r="U490"/>
  <c r="V490"/>
  <c r="I491"/>
  <c r="J491"/>
  <c r="K491"/>
  <c r="L491"/>
  <c r="M491"/>
  <c r="N491"/>
  <c r="O491"/>
  <c r="P491"/>
  <c r="Q491"/>
  <c r="R491"/>
  <c r="S491"/>
  <c r="T491"/>
  <c r="U491"/>
  <c r="V491"/>
  <c r="I492"/>
  <c r="J492"/>
  <c r="K492"/>
  <c r="L492"/>
  <c r="M492"/>
  <c r="N492"/>
  <c r="O492"/>
  <c r="P492"/>
  <c r="Q492"/>
  <c r="R492"/>
  <c r="S492"/>
  <c r="T492"/>
  <c r="U492"/>
  <c r="V492"/>
  <c r="I493"/>
  <c r="J493"/>
  <c r="K493"/>
  <c r="L493"/>
  <c r="M493"/>
  <c r="N493"/>
  <c r="O493"/>
  <c r="P493"/>
  <c r="Q493"/>
  <c r="R493"/>
  <c r="S493"/>
  <c r="T493"/>
  <c r="U493"/>
  <c r="V493"/>
  <c r="H493"/>
  <c r="H492"/>
  <c r="H491"/>
  <c r="H490"/>
  <c r="W9"/>
  <c r="I10"/>
  <c r="J10"/>
  <c r="K10"/>
  <c r="L10"/>
  <c r="M10"/>
  <c r="N10"/>
  <c r="O10"/>
  <c r="P10"/>
  <c r="Q10"/>
  <c r="R10"/>
  <c r="S10"/>
  <c r="T10"/>
  <c r="U10"/>
  <c r="V10"/>
  <c r="L11"/>
  <c r="M11"/>
  <c r="N11"/>
  <c r="O11"/>
  <c r="P11"/>
  <c r="Q11"/>
  <c r="R11"/>
  <c r="S11"/>
  <c r="T11"/>
  <c r="U11"/>
  <c r="V11"/>
  <c r="H10"/>
  <c r="W301"/>
  <c r="J120"/>
  <c r="J118" s="1"/>
  <c r="I120"/>
  <c r="I118" s="1"/>
  <c r="H120"/>
  <c r="H118" s="1"/>
  <c r="W91"/>
  <c r="W85"/>
  <c r="K85"/>
  <c r="K87"/>
  <c r="W62"/>
  <c r="I64"/>
  <c r="K64"/>
  <c r="K62" s="1"/>
  <c r="K298" l="1"/>
  <c r="K297" s="1"/>
  <c r="L298"/>
  <c r="L297" s="1"/>
  <c r="W131"/>
  <c r="W172"/>
  <c r="W389"/>
  <c r="W385"/>
  <c r="W382" s="1"/>
  <c r="W338"/>
  <c r="W322"/>
  <c r="W313"/>
  <c r="W288"/>
  <c r="W273"/>
  <c r="W225" s="1"/>
  <c r="W199"/>
  <c r="W187"/>
  <c r="W160"/>
  <c r="W144"/>
  <c r="W138"/>
  <c r="W108"/>
  <c r="W103"/>
  <c r="W79"/>
  <c r="W73"/>
  <c r="W68"/>
  <c r="W54"/>
  <c r="W46"/>
  <c r="J488" l="1"/>
  <c r="K488"/>
  <c r="L488"/>
  <c r="M488"/>
  <c r="N488"/>
  <c r="O488"/>
  <c r="P488"/>
  <c r="Q488"/>
  <c r="R488"/>
  <c r="S488"/>
  <c r="T488"/>
  <c r="U488"/>
  <c r="V488"/>
  <c r="I488"/>
  <c r="H488"/>
  <c r="M487"/>
  <c r="N487"/>
  <c r="O487"/>
  <c r="P487"/>
  <c r="Q487"/>
  <c r="R487"/>
  <c r="S487"/>
  <c r="T487"/>
  <c r="U487"/>
  <c r="V487"/>
  <c r="M486"/>
  <c r="N486"/>
  <c r="O486"/>
  <c r="P486"/>
  <c r="Q486"/>
  <c r="R486"/>
  <c r="S486"/>
  <c r="T486"/>
  <c r="U486"/>
  <c r="V486"/>
  <c r="J485"/>
  <c r="K485"/>
  <c r="L485"/>
  <c r="M485"/>
  <c r="N485"/>
  <c r="O485"/>
  <c r="P485"/>
  <c r="Q485"/>
  <c r="R485"/>
  <c r="S485"/>
  <c r="T485"/>
  <c r="U485"/>
  <c r="V485"/>
  <c r="P227"/>
  <c r="Q227"/>
  <c r="R227"/>
  <c r="S227"/>
  <c r="T227"/>
  <c r="U227"/>
  <c r="V227"/>
  <c r="J348"/>
  <c r="J346" s="1"/>
  <c r="I348"/>
  <c r="I346" s="1"/>
  <c r="H348"/>
  <c r="H346" s="1"/>
  <c r="K183"/>
  <c r="J183"/>
  <c r="I183"/>
  <c r="H183"/>
  <c r="K182"/>
  <c r="J182"/>
  <c r="I182"/>
  <c r="H182"/>
  <c r="K327"/>
  <c r="K326" s="1"/>
  <c r="L327"/>
  <c r="L326" s="1"/>
  <c r="M327"/>
  <c r="M326" s="1"/>
  <c r="N327"/>
  <c r="N326" s="1"/>
  <c r="J327"/>
  <c r="J326" s="1"/>
  <c r="I327"/>
  <c r="H327"/>
  <c r="I326"/>
  <c r="H326"/>
  <c r="J285"/>
  <c r="I285"/>
  <c r="I284" s="1"/>
  <c r="H285"/>
  <c r="J284"/>
  <c r="H284"/>
  <c r="M383"/>
  <c r="N383"/>
  <c r="O383"/>
  <c r="P383"/>
  <c r="Q383"/>
  <c r="R383"/>
  <c r="S383"/>
  <c r="T383"/>
  <c r="U383"/>
  <c r="V383"/>
  <c r="L395"/>
  <c r="L394" s="1"/>
  <c r="I395"/>
  <c r="J395"/>
  <c r="K395"/>
  <c r="H395"/>
  <c r="H394" s="1"/>
  <c r="K394"/>
  <c r="J394"/>
  <c r="I394"/>
  <c r="J369"/>
  <c r="J368" s="1"/>
  <c r="I369"/>
  <c r="I368" s="1"/>
  <c r="H369"/>
  <c r="H368" s="1"/>
  <c r="I196"/>
  <c r="J196"/>
  <c r="K196"/>
  <c r="H196"/>
  <c r="I193"/>
  <c r="I192" s="1"/>
  <c r="J193"/>
  <c r="J192" s="1"/>
  <c r="K193"/>
  <c r="K192" s="1"/>
  <c r="H193"/>
  <c r="H192" s="1"/>
  <c r="H384"/>
  <c r="K451"/>
  <c r="K450" s="1"/>
  <c r="H452"/>
  <c r="J451"/>
  <c r="I127"/>
  <c r="I125" s="1"/>
  <c r="J127"/>
  <c r="J125" s="1"/>
  <c r="K127"/>
  <c r="K125" s="1"/>
  <c r="L127"/>
  <c r="L125" s="1"/>
  <c r="H127"/>
  <c r="H125" s="1"/>
  <c r="H105"/>
  <c r="K105"/>
  <c r="H72"/>
  <c r="I72"/>
  <c r="I71"/>
  <c r="H265"/>
  <c r="H267"/>
  <c r="I267"/>
  <c r="K265"/>
  <c r="J265"/>
  <c r="I265"/>
  <c r="K103" l="1"/>
  <c r="H103"/>
  <c r="J450"/>
  <c r="H451"/>
  <c r="U456"/>
  <c r="V456"/>
  <c r="H477"/>
  <c r="L476"/>
  <c r="L475" s="1"/>
  <c r="I476"/>
  <c r="I475" s="1"/>
  <c r="K476"/>
  <c r="J476"/>
  <c r="H357"/>
  <c r="I352"/>
  <c r="I486" s="1"/>
  <c r="J340"/>
  <c r="J486" s="1"/>
  <c r="H255"/>
  <c r="L254"/>
  <c r="H254"/>
  <c r="K252"/>
  <c r="K487" s="1"/>
  <c r="H252"/>
  <c r="H251"/>
  <c r="L251"/>
  <c r="L486" s="1"/>
  <c r="K251"/>
  <c r="K486" s="1"/>
  <c r="I44"/>
  <c r="I487" s="1"/>
  <c r="H44"/>
  <c r="H487" s="1"/>
  <c r="I42"/>
  <c r="I485" s="1"/>
  <c r="H42"/>
  <c r="H485" s="1"/>
  <c r="H272"/>
  <c r="L272"/>
  <c r="K272"/>
  <c r="J272"/>
  <c r="I272"/>
  <c r="H324"/>
  <c r="H319"/>
  <c r="H321"/>
  <c r="L321"/>
  <c r="J321"/>
  <c r="L319"/>
  <c r="L487" s="1"/>
  <c r="J319"/>
  <c r="J487" s="1"/>
  <c r="H376"/>
  <c r="H375" s="1"/>
  <c r="H373" s="1"/>
  <c r="J375"/>
  <c r="J373" s="1"/>
  <c r="I375"/>
  <c r="I373" s="1"/>
  <c r="J223"/>
  <c r="H175"/>
  <c r="H480" s="1"/>
  <c r="L176"/>
  <c r="K176"/>
  <c r="J176"/>
  <c r="I176"/>
  <c r="K223"/>
  <c r="H450" l="1"/>
  <c r="H476"/>
  <c r="H176"/>
  <c r="K475"/>
  <c r="J475"/>
  <c r="W22"/>
  <c r="W27"/>
  <c r="W17"/>
  <c r="W12"/>
  <c r="H475" l="1"/>
  <c r="H456"/>
  <c r="H455" s="1"/>
  <c r="H174"/>
  <c r="H172" s="1"/>
  <c r="P504"/>
  <c r="R504"/>
  <c r="T504"/>
  <c r="Q480"/>
  <c r="S480"/>
  <c r="U480"/>
  <c r="R481"/>
  <c r="T481"/>
  <c r="U481"/>
  <c r="V481"/>
  <c r="P482"/>
  <c r="R482"/>
  <c r="T482"/>
  <c r="V482"/>
  <c r="Q483"/>
  <c r="S483"/>
  <c r="U483"/>
  <c r="I504"/>
  <c r="K504"/>
  <c r="I480"/>
  <c r="K480"/>
  <c r="L480"/>
  <c r="M480"/>
  <c r="N480"/>
  <c r="O480"/>
  <c r="I489"/>
  <c r="J247"/>
  <c r="J245" s="1"/>
  <c r="I247"/>
  <c r="H247"/>
  <c r="I245"/>
  <c r="H245"/>
  <c r="I243"/>
  <c r="J243"/>
  <c r="H243"/>
  <c r="O482" l="1"/>
  <c r="O504"/>
  <c r="M482"/>
  <c r="M504"/>
  <c r="N481"/>
  <c r="N482"/>
  <c r="N504"/>
  <c r="O481"/>
  <c r="M481"/>
  <c r="S482"/>
  <c r="S504"/>
  <c r="Q482"/>
  <c r="Q504"/>
  <c r="P481"/>
  <c r="O489"/>
  <c r="M489"/>
  <c r="N483"/>
  <c r="L483"/>
  <c r="J483"/>
  <c r="S489"/>
  <c r="Q489"/>
  <c r="V489"/>
  <c r="T489"/>
  <c r="R489"/>
  <c r="P489"/>
  <c r="N489"/>
  <c r="O483"/>
  <c r="M483"/>
  <c r="K483"/>
  <c r="I483"/>
  <c r="V483"/>
  <c r="T483"/>
  <c r="R483"/>
  <c r="P483"/>
  <c r="U482"/>
  <c r="K489"/>
  <c r="K482"/>
  <c r="L482"/>
  <c r="L504"/>
  <c r="J482"/>
  <c r="J504"/>
  <c r="L489"/>
  <c r="L481"/>
  <c r="K481"/>
  <c r="I481"/>
  <c r="J481"/>
  <c r="J489"/>
  <c r="J480"/>
  <c r="I482"/>
  <c r="U489"/>
  <c r="V484"/>
  <c r="V479" s="1"/>
  <c r="T484"/>
  <c r="T479" s="1"/>
  <c r="R484"/>
  <c r="R479" s="1"/>
  <c r="P484"/>
  <c r="P479" s="1"/>
  <c r="S481"/>
  <c r="Q481"/>
  <c r="V480"/>
  <c r="T480"/>
  <c r="R480"/>
  <c r="P480"/>
  <c r="U484"/>
  <c r="S484"/>
  <c r="S479" s="1"/>
  <c r="Q484"/>
  <c r="Q479" s="1"/>
  <c r="O484"/>
  <c r="O479" s="1"/>
  <c r="M484"/>
  <c r="M479" s="1"/>
  <c r="K484"/>
  <c r="I484"/>
  <c r="N484"/>
  <c r="N479" s="1"/>
  <c r="L484"/>
  <c r="J484"/>
  <c r="J479" s="1"/>
  <c r="K479" l="1"/>
  <c r="L479"/>
  <c r="I479"/>
  <c r="U479"/>
  <c r="J241" l="1"/>
  <c r="I241"/>
  <c r="H241"/>
  <c r="K238"/>
  <c r="K237" s="1"/>
  <c r="J238"/>
  <c r="J237" s="1"/>
  <c r="I238"/>
  <c r="I237" s="1"/>
  <c r="H238"/>
  <c r="H237" s="1"/>
  <c r="I231"/>
  <c r="H231"/>
  <c r="J229"/>
  <c r="I229"/>
  <c r="H229"/>
  <c r="I178"/>
  <c r="I177" s="1"/>
  <c r="J178"/>
  <c r="J177" s="1"/>
  <c r="K178"/>
  <c r="K177" s="1"/>
  <c r="H178"/>
  <c r="H177" s="1"/>
  <c r="I55"/>
  <c r="J55"/>
  <c r="K55"/>
  <c r="H55"/>
  <c r="J64"/>
  <c r="H64"/>
  <c r="J62"/>
  <c r="I62"/>
  <c r="I70"/>
  <c r="J70"/>
  <c r="H70"/>
  <c r="J68"/>
  <c r="I75"/>
  <c r="I73" s="1"/>
  <c r="J75"/>
  <c r="J73" s="1"/>
  <c r="H75"/>
  <c r="H73" s="1"/>
  <c r="I87"/>
  <c r="J87"/>
  <c r="I85"/>
  <c r="J85"/>
  <c r="H87"/>
  <c r="H85" s="1"/>
  <c r="I93"/>
  <c r="I91" s="1"/>
  <c r="J93"/>
  <c r="J91" s="1"/>
  <c r="H93"/>
  <c r="H91" s="1"/>
  <c r="I105"/>
  <c r="I103" s="1"/>
  <c r="J105"/>
  <c r="I110"/>
  <c r="I108" s="1"/>
  <c r="J110"/>
  <c r="H110"/>
  <c r="H108" s="1"/>
  <c r="J108"/>
  <c r="H115"/>
  <c r="I132"/>
  <c r="J132"/>
  <c r="K132"/>
  <c r="L132"/>
  <c r="M132"/>
  <c r="N132"/>
  <c r="O132"/>
  <c r="P132"/>
  <c r="I134"/>
  <c r="J134"/>
  <c r="K134"/>
  <c r="L134"/>
  <c r="M134"/>
  <c r="N134"/>
  <c r="O134"/>
  <c r="P134"/>
  <c r="H134"/>
  <c r="H132"/>
  <c r="I141"/>
  <c r="J141"/>
  <c r="I139"/>
  <c r="I138" s="1"/>
  <c r="J139"/>
  <c r="J138" s="1"/>
  <c r="K139"/>
  <c r="K138" s="1"/>
  <c r="L139"/>
  <c r="L138" s="1"/>
  <c r="M139"/>
  <c r="M138" s="1"/>
  <c r="N139"/>
  <c r="N138" s="1"/>
  <c r="O139"/>
  <c r="O138" s="1"/>
  <c r="H139"/>
  <c r="H141"/>
  <c r="L145"/>
  <c r="L144" s="1"/>
  <c r="M145"/>
  <c r="M144" s="1"/>
  <c r="N145"/>
  <c r="N144" s="1"/>
  <c r="O145"/>
  <c r="O144" s="1"/>
  <c r="K145"/>
  <c r="K144" s="1"/>
  <c r="I147"/>
  <c r="I144" s="1"/>
  <c r="J147"/>
  <c r="J144" s="1"/>
  <c r="H147"/>
  <c r="H145"/>
  <c r="I216"/>
  <c r="I215" s="1"/>
  <c r="J216"/>
  <c r="J215" s="1"/>
  <c r="H216"/>
  <c r="H215" s="1"/>
  <c r="I209"/>
  <c r="J209"/>
  <c r="K209"/>
  <c r="L209"/>
  <c r="I212"/>
  <c r="J212"/>
  <c r="K212"/>
  <c r="L212"/>
  <c r="H212"/>
  <c r="H209"/>
  <c r="H204"/>
  <c r="I200"/>
  <c r="I199" s="1"/>
  <c r="J200"/>
  <c r="J199" s="1"/>
  <c r="H200"/>
  <c r="I188"/>
  <c r="J188"/>
  <c r="J187" s="1"/>
  <c r="K188"/>
  <c r="K187" s="1"/>
  <c r="I190"/>
  <c r="H190"/>
  <c r="H188"/>
  <c r="I174"/>
  <c r="I172" s="1"/>
  <c r="J174"/>
  <c r="J172" s="1"/>
  <c r="K174"/>
  <c r="L174"/>
  <c r="I168"/>
  <c r="I167" s="1"/>
  <c r="J168"/>
  <c r="J167" s="1"/>
  <c r="H168"/>
  <c r="H167" s="1"/>
  <c r="I156"/>
  <c r="H156"/>
  <c r="I152"/>
  <c r="I151" s="1"/>
  <c r="J152"/>
  <c r="J151" s="1"/>
  <c r="H152"/>
  <c r="I161"/>
  <c r="I160" s="1"/>
  <c r="J161"/>
  <c r="J160" s="1"/>
  <c r="K161"/>
  <c r="K160" s="1"/>
  <c r="L161"/>
  <c r="L160" s="1"/>
  <c r="H161"/>
  <c r="H164"/>
  <c r="H113" l="1"/>
  <c r="H11"/>
  <c r="H502" s="1"/>
  <c r="H62"/>
  <c r="J103"/>
  <c r="H68"/>
  <c r="I68"/>
  <c r="L172"/>
  <c r="K172"/>
  <c r="H144"/>
  <c r="I228"/>
  <c r="J228"/>
  <c r="H187"/>
  <c r="H228"/>
  <c r="H208"/>
  <c r="O131"/>
  <c r="M131"/>
  <c r="K131"/>
  <c r="I131"/>
  <c r="H160"/>
  <c r="H138"/>
  <c r="H131"/>
  <c r="P131"/>
  <c r="N131"/>
  <c r="L131"/>
  <c r="J131"/>
  <c r="I187"/>
  <c r="J208"/>
  <c r="H199"/>
  <c r="K208"/>
  <c r="I208"/>
  <c r="L208"/>
  <c r="H151"/>
  <c r="I234"/>
  <c r="I233" s="1"/>
  <c r="J234"/>
  <c r="J233" s="1"/>
  <c r="K234"/>
  <c r="L234"/>
  <c r="H234"/>
  <c r="H233" s="1"/>
  <c r="I250"/>
  <c r="J250"/>
  <c r="K250"/>
  <c r="L250"/>
  <c r="H250"/>
  <c r="I253"/>
  <c r="J253"/>
  <c r="K253"/>
  <c r="L253"/>
  <c r="H253"/>
  <c r="I271"/>
  <c r="J271"/>
  <c r="K271"/>
  <c r="L271"/>
  <c r="I269"/>
  <c r="I268" s="1"/>
  <c r="J269"/>
  <c r="J268" s="1"/>
  <c r="K269"/>
  <c r="L269"/>
  <c r="L268" s="1"/>
  <c r="H269"/>
  <c r="H271"/>
  <c r="I289"/>
  <c r="I288" s="1"/>
  <c r="J289"/>
  <c r="J288" s="1"/>
  <c r="H289"/>
  <c r="H288" s="1"/>
  <c r="I294"/>
  <c r="I292" s="1"/>
  <c r="J294"/>
  <c r="J292" s="1"/>
  <c r="K294"/>
  <c r="K292" s="1"/>
  <c r="L294"/>
  <c r="L292" s="1"/>
  <c r="M294"/>
  <c r="M227" s="1"/>
  <c r="N294"/>
  <c r="N227" s="1"/>
  <c r="O294"/>
  <c r="O227" s="1"/>
  <c r="H294"/>
  <c r="H292" s="1"/>
  <c r="I301"/>
  <c r="J301"/>
  <c r="H301"/>
  <c r="H499" s="1"/>
  <c r="I314"/>
  <c r="I313" s="1"/>
  <c r="J314"/>
  <c r="J313" s="1"/>
  <c r="H314"/>
  <c r="H313" s="1"/>
  <c r="I318"/>
  <c r="J318"/>
  <c r="K318"/>
  <c r="L318"/>
  <c r="I320"/>
  <c r="J320"/>
  <c r="K320"/>
  <c r="L320"/>
  <c r="H320"/>
  <c r="H318"/>
  <c r="I323"/>
  <c r="I322" s="1"/>
  <c r="J323"/>
  <c r="J322" s="1"/>
  <c r="K323"/>
  <c r="K322" s="1"/>
  <c r="H323"/>
  <c r="H322" s="1"/>
  <c r="I332"/>
  <c r="I330" s="1"/>
  <c r="J332"/>
  <c r="J330" s="1"/>
  <c r="H332"/>
  <c r="H330" s="1"/>
  <c r="I335"/>
  <c r="I334" s="1"/>
  <c r="J335"/>
  <c r="J334" s="1"/>
  <c r="H335"/>
  <c r="H334" s="1"/>
  <c r="I339"/>
  <c r="I338" s="1"/>
  <c r="J339"/>
  <c r="K339"/>
  <c r="K338" s="1"/>
  <c r="L339"/>
  <c r="M339"/>
  <c r="N339"/>
  <c r="O339"/>
  <c r="P339"/>
  <c r="Q339"/>
  <c r="R339"/>
  <c r="R226" s="1"/>
  <c r="S339"/>
  <c r="S226" s="1"/>
  <c r="T339"/>
  <c r="T226" s="1"/>
  <c r="U339"/>
  <c r="U226" s="1"/>
  <c r="V339"/>
  <c r="V226" s="1"/>
  <c r="H339"/>
  <c r="H338" s="1"/>
  <c r="J338"/>
  <c r="L338"/>
  <c r="N338"/>
  <c r="P338"/>
  <c r="R338"/>
  <c r="T338"/>
  <c r="V338"/>
  <c r="I360"/>
  <c r="J360"/>
  <c r="J359" s="1"/>
  <c r="K360"/>
  <c r="L360"/>
  <c r="L359" s="1"/>
  <c r="M360"/>
  <c r="N360"/>
  <c r="N359" s="1"/>
  <c r="O360"/>
  <c r="P360"/>
  <c r="P359" s="1"/>
  <c r="Q360"/>
  <c r="H360"/>
  <c r="H359" s="1"/>
  <c r="I356"/>
  <c r="J356"/>
  <c r="J355" s="1"/>
  <c r="K356"/>
  <c r="L356"/>
  <c r="L355" s="1"/>
  <c r="H356"/>
  <c r="I351"/>
  <c r="J351"/>
  <c r="H353"/>
  <c r="H351"/>
  <c r="I350"/>
  <c r="J350"/>
  <c r="I355"/>
  <c r="K355"/>
  <c r="H355"/>
  <c r="I359"/>
  <c r="K359"/>
  <c r="M359"/>
  <c r="O359"/>
  <c r="Q359"/>
  <c r="I364"/>
  <c r="I363" s="1"/>
  <c r="J364"/>
  <c r="J363" s="1"/>
  <c r="K364"/>
  <c r="K363" s="1"/>
  <c r="L364"/>
  <c r="L363" s="1"/>
  <c r="H364"/>
  <c r="H363" s="1"/>
  <c r="I390"/>
  <c r="J390"/>
  <c r="K390"/>
  <c r="H390"/>
  <c r="I389"/>
  <c r="J389"/>
  <c r="K389"/>
  <c r="H389"/>
  <c r="H385"/>
  <c r="I257"/>
  <c r="J257"/>
  <c r="K257"/>
  <c r="L257"/>
  <c r="H257"/>
  <c r="I260"/>
  <c r="J260"/>
  <c r="K260"/>
  <c r="L260"/>
  <c r="H260"/>
  <c r="I399"/>
  <c r="I398" s="1"/>
  <c r="J399"/>
  <c r="J398" s="1"/>
  <c r="H400"/>
  <c r="H399" s="1"/>
  <c r="H398" s="1"/>
  <c r="I403"/>
  <c r="I402" s="1"/>
  <c r="J403"/>
  <c r="J402" s="1"/>
  <c r="K403"/>
  <c r="K402" s="1"/>
  <c r="H404"/>
  <c r="H403" s="1"/>
  <c r="H402" s="1"/>
  <c r="I407"/>
  <c r="I406" s="1"/>
  <c r="J407"/>
  <c r="J406" s="1"/>
  <c r="K407"/>
  <c r="K406" s="1"/>
  <c r="H408"/>
  <c r="I411"/>
  <c r="I410" s="1"/>
  <c r="J411"/>
  <c r="J410" s="1"/>
  <c r="I415"/>
  <c r="I414" s="1"/>
  <c r="J415"/>
  <c r="J414" s="1"/>
  <c r="K415"/>
  <c r="K414" s="1"/>
  <c r="H416"/>
  <c r="I419"/>
  <c r="I418" s="1"/>
  <c r="J419"/>
  <c r="J418" s="1"/>
  <c r="H420"/>
  <c r="I423"/>
  <c r="I422" s="1"/>
  <c r="J423"/>
  <c r="J422" s="1"/>
  <c r="K423"/>
  <c r="K422" s="1"/>
  <c r="H424"/>
  <c r="I427"/>
  <c r="I426" s="1"/>
  <c r="J427"/>
  <c r="J426" s="1"/>
  <c r="K427"/>
  <c r="K426" s="1"/>
  <c r="L427"/>
  <c r="L383" s="1"/>
  <c r="H428"/>
  <c r="I431"/>
  <c r="I430" s="1"/>
  <c r="J431"/>
  <c r="H432"/>
  <c r="I435"/>
  <c r="I434" s="1"/>
  <c r="J435"/>
  <c r="J434" s="1"/>
  <c r="K435"/>
  <c r="K434" s="1"/>
  <c r="H436"/>
  <c r="I439"/>
  <c r="I438" s="1"/>
  <c r="J439"/>
  <c r="K439"/>
  <c r="K438" s="1"/>
  <c r="H440"/>
  <c r="I443"/>
  <c r="I442" s="1"/>
  <c r="J443"/>
  <c r="J442" s="1"/>
  <c r="K443"/>
  <c r="K442" s="1"/>
  <c r="H444"/>
  <c r="I447"/>
  <c r="I446" s="1"/>
  <c r="J447"/>
  <c r="H448"/>
  <c r="I41"/>
  <c r="J41"/>
  <c r="K41"/>
  <c r="L41"/>
  <c r="M41"/>
  <c r="N41"/>
  <c r="O41"/>
  <c r="P41"/>
  <c r="Q41"/>
  <c r="H41"/>
  <c r="I40"/>
  <c r="J40"/>
  <c r="K40"/>
  <c r="L40"/>
  <c r="M40"/>
  <c r="N40"/>
  <c r="O40"/>
  <c r="P40"/>
  <c r="Q40"/>
  <c r="H40"/>
  <c r="I29"/>
  <c r="I27" s="1"/>
  <c r="J29"/>
  <c r="H29"/>
  <c r="H27" s="1"/>
  <c r="J27"/>
  <c r="I24"/>
  <c r="I22" s="1"/>
  <c r="J24"/>
  <c r="J22" s="1"/>
  <c r="H24"/>
  <c r="H22" s="1"/>
  <c r="I19"/>
  <c r="J19"/>
  <c r="K19"/>
  <c r="H19"/>
  <c r="I17"/>
  <c r="J17"/>
  <c r="K17"/>
  <c r="H17"/>
  <c r="I14"/>
  <c r="J14"/>
  <c r="K14"/>
  <c r="H14"/>
  <c r="I12"/>
  <c r="J12"/>
  <c r="K12"/>
  <c r="H281"/>
  <c r="H486" s="1"/>
  <c r="H484" s="1"/>
  <c r="I280"/>
  <c r="I279" s="1"/>
  <c r="J280"/>
  <c r="J279"/>
  <c r="P226" l="1"/>
  <c r="N226"/>
  <c r="L226"/>
  <c r="H495"/>
  <c r="Q226"/>
  <c r="O226"/>
  <c r="M226"/>
  <c r="H350"/>
  <c r="H12"/>
  <c r="H280"/>
  <c r="H279" s="1"/>
  <c r="U338"/>
  <c r="S338"/>
  <c r="Q338"/>
  <c r="O338"/>
  <c r="M338"/>
  <c r="I317"/>
  <c r="K268"/>
  <c r="H317"/>
  <c r="O292"/>
  <c r="M292"/>
  <c r="K233"/>
  <c r="H431"/>
  <c r="H430" s="1"/>
  <c r="L426"/>
  <c r="N292"/>
  <c r="L233"/>
  <c r="L256"/>
  <c r="J256"/>
  <c r="H256"/>
  <c r="K256"/>
  <c r="I256"/>
  <c r="L249"/>
  <c r="J249"/>
  <c r="H268"/>
  <c r="H249"/>
  <c r="K249"/>
  <c r="I249"/>
  <c r="L317"/>
  <c r="J317"/>
  <c r="K317"/>
  <c r="H447"/>
  <c r="H439"/>
  <c r="H446"/>
  <c r="H438"/>
  <c r="J446"/>
  <c r="H443"/>
  <c r="J438"/>
  <c r="H435"/>
  <c r="J430"/>
  <c r="H427"/>
  <c r="H419"/>
  <c r="H411"/>
  <c r="H423"/>
  <c r="H415"/>
  <c r="H407"/>
  <c r="H383" s="1"/>
  <c r="I275"/>
  <c r="I273" s="1"/>
  <c r="J275"/>
  <c r="K275"/>
  <c r="K227" s="1"/>
  <c r="L275"/>
  <c r="L227" s="1"/>
  <c r="H275"/>
  <c r="H273" s="1"/>
  <c r="I57"/>
  <c r="I54" s="1"/>
  <c r="J57"/>
  <c r="J54" s="1"/>
  <c r="K57"/>
  <c r="K54" s="1"/>
  <c r="H57"/>
  <c r="H54" s="1"/>
  <c r="K50"/>
  <c r="K47"/>
  <c r="J47"/>
  <c r="I47"/>
  <c r="H47"/>
  <c r="H50"/>
  <c r="K311"/>
  <c r="K309" s="1"/>
  <c r="J311"/>
  <c r="J309" s="1"/>
  <c r="I311"/>
  <c r="I309" s="1"/>
  <c r="H311"/>
  <c r="H309" s="1"/>
  <c r="H307"/>
  <c r="H305" s="1"/>
  <c r="J307"/>
  <c r="I307"/>
  <c r="J305"/>
  <c r="I305"/>
  <c r="I81"/>
  <c r="J81"/>
  <c r="J79" s="1"/>
  <c r="H81"/>
  <c r="I99"/>
  <c r="I97" s="1"/>
  <c r="J99"/>
  <c r="J97" s="1"/>
  <c r="K99"/>
  <c r="K97" s="1"/>
  <c r="L99"/>
  <c r="H99"/>
  <c r="H97" s="1"/>
  <c r="I79" l="1"/>
  <c r="H79"/>
  <c r="L97"/>
  <c r="H46"/>
  <c r="K46"/>
  <c r="L273"/>
  <c r="J273"/>
  <c r="K273"/>
  <c r="H414"/>
  <c r="H410"/>
  <c r="H426"/>
  <c r="H434"/>
  <c r="H442"/>
  <c r="H406"/>
  <c r="H422"/>
  <c r="H418"/>
  <c r="H264"/>
  <c r="H266"/>
  <c r="I37"/>
  <c r="H33"/>
  <c r="H37"/>
  <c r="H344"/>
  <c r="H342" s="1"/>
  <c r="H263" l="1"/>
  <c r="H9"/>
  <c r="H32"/>
  <c r="H379" l="1"/>
  <c r="H227" s="1"/>
  <c r="H298"/>
  <c r="H226" l="1"/>
  <c r="H501" s="1"/>
  <c r="H377"/>
  <c r="H297"/>
  <c r="H483"/>
  <c r="H7"/>
  <c r="H496"/>
  <c r="H225" l="1"/>
  <c r="H382"/>
  <c r="H494" s="1"/>
  <c r="H6"/>
  <c r="H5" s="1"/>
  <c r="H482"/>
  <c r="H489"/>
  <c r="H479" s="1"/>
  <c r="H481"/>
  <c r="H500" l="1"/>
  <c r="I33" l="1"/>
  <c r="J33"/>
  <c r="J32" l="1"/>
  <c r="I32"/>
  <c r="K115"/>
  <c r="K11" s="1"/>
  <c r="J115"/>
  <c r="J11" s="1"/>
  <c r="I115"/>
  <c r="I113" l="1"/>
  <c r="I499" s="1"/>
  <c r="I11"/>
  <c r="K113"/>
  <c r="K499" s="1"/>
  <c r="J113"/>
  <c r="J499" s="1"/>
  <c r="R9" l="1"/>
  <c r="S9"/>
  <c r="T9"/>
  <c r="U9"/>
  <c r="V9"/>
  <c r="U455"/>
  <c r="V455"/>
  <c r="K473"/>
  <c r="K472" s="1"/>
  <c r="J473"/>
  <c r="J472" s="1"/>
  <c r="I473"/>
  <c r="I472" s="1"/>
  <c r="V496" l="1"/>
  <c r="V495"/>
  <c r="U496"/>
  <c r="U495"/>
  <c r="I384"/>
  <c r="J384"/>
  <c r="K384"/>
  <c r="L384"/>
  <c r="M384"/>
  <c r="N384"/>
  <c r="O384"/>
  <c r="P384"/>
  <c r="Q384"/>
  <c r="R384"/>
  <c r="S384"/>
  <c r="T384"/>
  <c r="U384"/>
  <c r="V384"/>
  <c r="V382" l="1"/>
  <c r="V494" s="1"/>
  <c r="T382"/>
  <c r="R382"/>
  <c r="P382"/>
  <c r="N382"/>
  <c r="L382"/>
  <c r="U382"/>
  <c r="U494" s="1"/>
  <c r="S382"/>
  <c r="Q382"/>
  <c r="O382"/>
  <c r="M382"/>
  <c r="J50"/>
  <c r="J46" l="1"/>
  <c r="L222"/>
  <c r="M222"/>
  <c r="N222"/>
  <c r="O222"/>
  <c r="P222"/>
  <c r="Q222"/>
  <c r="R222"/>
  <c r="S222"/>
  <c r="T222"/>
  <c r="U222"/>
  <c r="U501" s="1"/>
  <c r="V222"/>
  <c r="V501" s="1"/>
  <c r="I223"/>
  <c r="L223"/>
  <c r="M223"/>
  <c r="N223"/>
  <c r="O223"/>
  <c r="P223"/>
  <c r="Q223"/>
  <c r="Q502" s="1"/>
  <c r="R223"/>
  <c r="R502" s="1"/>
  <c r="S223"/>
  <c r="S502" s="1"/>
  <c r="T223"/>
  <c r="T502" s="1"/>
  <c r="U223"/>
  <c r="U502" s="1"/>
  <c r="V223"/>
  <c r="V502" s="1"/>
  <c r="K386"/>
  <c r="K383" s="1"/>
  <c r="J386"/>
  <c r="J383" s="1"/>
  <c r="I386"/>
  <c r="I383" s="1"/>
  <c r="K385" l="1"/>
  <c r="K382"/>
  <c r="I385"/>
  <c r="I382"/>
  <c r="J385"/>
  <c r="J382"/>
  <c r="V221"/>
  <c r="T221"/>
  <c r="R221"/>
  <c r="P221"/>
  <c r="N221"/>
  <c r="L221"/>
  <c r="J221"/>
  <c r="U221"/>
  <c r="S221"/>
  <c r="Q221"/>
  <c r="O221"/>
  <c r="M221"/>
  <c r="K221"/>
  <c r="I221"/>
  <c r="Q7" l="1"/>
  <c r="R7"/>
  <c r="S7"/>
  <c r="T7"/>
  <c r="U7"/>
  <c r="V7"/>
  <c r="M470" l="1"/>
  <c r="M469" s="1"/>
  <c r="L470"/>
  <c r="L469" s="1"/>
  <c r="K470"/>
  <c r="K469" s="1"/>
  <c r="J470"/>
  <c r="J469" s="1"/>
  <c r="I470"/>
  <c r="I469" s="1"/>
  <c r="J467"/>
  <c r="J466" s="1"/>
  <c r="I467"/>
  <c r="I466" s="1"/>
  <c r="T464"/>
  <c r="T456" s="1"/>
  <c r="S464"/>
  <c r="S463" s="1"/>
  <c r="R464"/>
  <c r="R463" s="1"/>
  <c r="Q464"/>
  <c r="P464"/>
  <c r="P463" s="1"/>
  <c r="O464"/>
  <c r="O463" s="1"/>
  <c r="N464"/>
  <c r="N463" s="1"/>
  <c r="M464"/>
  <c r="M463" s="1"/>
  <c r="L464"/>
  <c r="L463" s="1"/>
  <c r="K464"/>
  <c r="K463" s="1"/>
  <c r="J464"/>
  <c r="J463" s="1"/>
  <c r="I464"/>
  <c r="I463" s="1"/>
  <c r="T463"/>
  <c r="Q463"/>
  <c r="K461"/>
  <c r="K460" s="1"/>
  <c r="J461"/>
  <c r="J460" s="1"/>
  <c r="I461"/>
  <c r="I460" s="1"/>
  <c r="S458"/>
  <c r="S456" s="1"/>
  <c r="R458"/>
  <c r="R456" s="1"/>
  <c r="Q458"/>
  <c r="Q456" s="1"/>
  <c r="P458"/>
  <c r="P456" s="1"/>
  <c r="O458"/>
  <c r="O456" s="1"/>
  <c r="N458"/>
  <c r="N456" s="1"/>
  <c r="M458"/>
  <c r="M456" s="1"/>
  <c r="L458"/>
  <c r="L456" s="1"/>
  <c r="K458"/>
  <c r="J458"/>
  <c r="I458"/>
  <c r="W455"/>
  <c r="W494" s="1"/>
  <c r="J379"/>
  <c r="J377" s="1"/>
  <c r="I379"/>
  <c r="J344"/>
  <c r="J227" s="1"/>
  <c r="J502" s="1"/>
  <c r="I344"/>
  <c r="I342" s="1"/>
  <c r="J298"/>
  <c r="I298"/>
  <c r="P502"/>
  <c r="O502"/>
  <c r="N502"/>
  <c r="M502"/>
  <c r="L502"/>
  <c r="I50"/>
  <c r="I266"/>
  <c r="I227" s="1"/>
  <c r="K264"/>
  <c r="K226" s="1"/>
  <c r="J264"/>
  <c r="I264"/>
  <c r="I226" s="1"/>
  <c r="K502"/>
  <c r="W5"/>
  <c r="I502" l="1"/>
  <c r="J456"/>
  <c r="J297"/>
  <c r="J226"/>
  <c r="J225" s="1"/>
  <c r="I456"/>
  <c r="I455" s="1"/>
  <c r="K456"/>
  <c r="I225"/>
  <c r="W500"/>
  <c r="T455"/>
  <c r="T495" s="1"/>
  <c r="T501"/>
  <c r="J342"/>
  <c r="P9"/>
  <c r="J9"/>
  <c r="T496"/>
  <c r="I377"/>
  <c r="I297"/>
  <c r="K9"/>
  <c r="M225"/>
  <c r="O225"/>
  <c r="Q225"/>
  <c r="S225"/>
  <c r="U225"/>
  <c r="K7"/>
  <c r="N225"/>
  <c r="P225"/>
  <c r="R225"/>
  <c r="T225"/>
  <c r="V225"/>
  <c r="M9"/>
  <c r="O9"/>
  <c r="Q9"/>
  <c r="N9"/>
  <c r="K225"/>
  <c r="J457"/>
  <c r="J455"/>
  <c r="P457"/>
  <c r="L457"/>
  <c r="N457"/>
  <c r="R457"/>
  <c r="I457"/>
  <c r="K457"/>
  <c r="K455"/>
  <c r="M457"/>
  <c r="O457"/>
  <c r="Q457"/>
  <c r="S457"/>
  <c r="I46"/>
  <c r="V6"/>
  <c r="V5" s="1"/>
  <c r="V500" s="1"/>
  <c r="M7"/>
  <c r="O7"/>
  <c r="L7"/>
  <c r="N7"/>
  <c r="P7"/>
  <c r="P6"/>
  <c r="R6"/>
  <c r="R5" s="1"/>
  <c r="T6"/>
  <c r="T5" s="1"/>
  <c r="T500" s="1"/>
  <c r="K263"/>
  <c r="S6"/>
  <c r="S5" s="1"/>
  <c r="U6"/>
  <c r="U5" s="1"/>
  <c r="U500" s="1"/>
  <c r="I263"/>
  <c r="J263"/>
  <c r="W479"/>
  <c r="T494" l="1"/>
  <c r="I501"/>
  <c r="S455"/>
  <c r="S500" s="1"/>
  <c r="S501"/>
  <c r="Q455"/>
  <c r="Q496" s="1"/>
  <c r="Q501"/>
  <c r="O455"/>
  <c r="O495" s="1"/>
  <c r="O501"/>
  <c r="M455"/>
  <c r="M496" s="1"/>
  <c r="M501"/>
  <c r="R455"/>
  <c r="R500" s="1"/>
  <c r="R501"/>
  <c r="N455"/>
  <c r="N496" s="1"/>
  <c r="N501"/>
  <c r="L455"/>
  <c r="L495" s="1"/>
  <c r="L501"/>
  <c r="P455"/>
  <c r="P496" s="1"/>
  <c r="P501"/>
  <c r="K501"/>
  <c r="J501"/>
  <c r="S496"/>
  <c r="Q495"/>
  <c r="K496"/>
  <c r="K495"/>
  <c r="K494"/>
  <c r="I496"/>
  <c r="I495"/>
  <c r="I494"/>
  <c r="J496"/>
  <c r="J495"/>
  <c r="J494"/>
  <c r="I9"/>
  <c r="L225"/>
  <c r="L6"/>
  <c r="L5" s="1"/>
  <c r="L9"/>
  <c r="I7"/>
  <c r="J7"/>
  <c r="J6"/>
  <c r="I6"/>
  <c r="P5"/>
  <c r="Q6"/>
  <c r="Q5" s="1"/>
  <c r="Q500" s="1"/>
  <c r="O6"/>
  <c r="O5" s="1"/>
  <c r="M6"/>
  <c r="M5" s="1"/>
  <c r="M500" s="1"/>
  <c r="K6"/>
  <c r="K5" s="1"/>
  <c r="K500" s="1"/>
  <c r="N6"/>
  <c r="N5" s="1"/>
  <c r="N500" s="1"/>
  <c r="O500" l="1"/>
  <c r="R496"/>
  <c r="S494"/>
  <c r="L494"/>
  <c r="O494"/>
  <c r="N495"/>
  <c r="P500"/>
  <c r="L500"/>
  <c r="P495"/>
  <c r="L496"/>
  <c r="R494"/>
  <c r="M495"/>
  <c r="O496"/>
  <c r="P494"/>
  <c r="N494"/>
  <c r="R495"/>
  <c r="M494"/>
  <c r="Q494"/>
  <c r="S495"/>
  <c r="I5"/>
  <c r="I500" s="1"/>
  <c r="J5"/>
  <c r="J500" s="1"/>
</calcChain>
</file>

<file path=xl/sharedStrings.xml><?xml version="1.0" encoding="utf-8"?>
<sst xmlns="http://schemas.openxmlformats.org/spreadsheetml/2006/main" count="868" uniqueCount="297">
  <si>
    <t>Lp</t>
  </si>
  <si>
    <t>limit zobowiązań</t>
  </si>
  <si>
    <t>Przedsięwzięcia ogółem</t>
  </si>
  <si>
    <t xml:space="preserve"> - wydatki bieżące</t>
  </si>
  <si>
    <t xml:space="preserve"> - wydatki majątkowe</t>
  </si>
  <si>
    <t>1) programy, projekty lub zadania (razem)</t>
  </si>
  <si>
    <t>b) programy, projekty lub zadania związane z umowami partnerstwa publiczno - prywatnego; (razem)</t>
  </si>
  <si>
    <t>c) programy, projekty lub zadania pozostałe (inne niż wymienione w lit. a i b) (razem)</t>
  </si>
  <si>
    <t>2) umowy, których realizacja w roku budżetowym i w latach następnych jest niezbędna dla zapewnienia ciągłości działania jednostki i których płatności przypadają w okresie dłuższym niż rok;</t>
  </si>
  <si>
    <t>3) gwarancje i poręczenia udzielane przez jednostki samorządu terytorialnego (razem)</t>
  </si>
  <si>
    <t>a) programy, projekty lub zadania związane z programami realizowanymi z udziałem środków, o których mowa w art. 5 ust. 1 pkt 2 i 3, (razem)</t>
  </si>
  <si>
    <t xml:space="preserve"> - wydatki majątkowe, z tego</t>
  </si>
  <si>
    <t xml:space="preserve"> - wydatki bieżące, z tego</t>
  </si>
  <si>
    <t xml:space="preserve">Wojewódzki Urząd Pracy </t>
  </si>
  <si>
    <t>Zimowe utrzymanie dróg Zimowe utrzymanie dróg</t>
  </si>
  <si>
    <t>Regionalny Ośrodek Polityki Społecznej w Rzeszowie, ul. Hetmańska 120</t>
  </si>
  <si>
    <t xml:space="preserve">Szpital  Wojewódzki Nr 2 im. Św. Jadwigi Królowej w Rzeszowie </t>
  </si>
  <si>
    <t>Wojewódzki Szpital im. Św. Ojca Pio w Przemyślu</t>
  </si>
  <si>
    <t>Wojewódzki Szpital im. Zofii z Zamoyskich Tarnowskiej w Tarnobrzegu</t>
  </si>
  <si>
    <t>Wojewódzki Szpital Podkarpacki im. Jana Pawła II w Krośnie</t>
  </si>
  <si>
    <t>Szpital Wojewódzki Nr 2 im. Św. Jadwigi Królowej w Rzeszowie</t>
  </si>
  <si>
    <t>Wojewódzki Urząd Pracy w Rzeszowie</t>
  </si>
  <si>
    <t>Szkolenie i specjalistyczne doradztwo dla kadr instytucji pomocy społecznej działających na terenie województwa podkarpackiego powiązane z potrzebami oraz specyfiką realizowanych zadań.                                                                                                                                                                                                                                                                                                                      Program Operacyjny Kapitał Ludzki 2007-2013 WND-PO KL.07.01.03-18-001/09</t>
  </si>
  <si>
    <t>Budżet Unii Europejskiej</t>
  </si>
  <si>
    <t>Budżet Państwa</t>
  </si>
  <si>
    <t>Budżet Woj. Podkarpackiego</t>
  </si>
  <si>
    <t>Inne źródła</t>
  </si>
  <si>
    <t>2008 - 2014</t>
  </si>
  <si>
    <t>2010 - 2016</t>
  </si>
  <si>
    <t>2010 - 2013</t>
  </si>
  <si>
    <t>2008 - 2023</t>
  </si>
  <si>
    <t>2007 - 2022</t>
  </si>
  <si>
    <t>2011 - 2015</t>
  </si>
  <si>
    <t>2011 - 2020</t>
  </si>
  <si>
    <t>2011 - 2013</t>
  </si>
  <si>
    <t>2008 - 2025</t>
  </si>
  <si>
    <t>2011 - 2014</t>
  </si>
  <si>
    <t>2010 - 2015</t>
  </si>
  <si>
    <t>2009 - 2015</t>
  </si>
  <si>
    <t>2009 - 2013</t>
  </si>
  <si>
    <t>2008 - 2013</t>
  </si>
  <si>
    <t>2010 - 2019</t>
  </si>
  <si>
    <t>2010 - 2020</t>
  </si>
  <si>
    <t>2006 - 2014</t>
  </si>
  <si>
    <t xml:space="preserve"> Ochrona przeciwpowodziowa aglomeracji Rzeszów Program Operacyjny Infratsruktura i Środowisko 2007 - 2013 </t>
  </si>
  <si>
    <t>Ochrona przed powodzią aglomeracji Rzeszów</t>
  </si>
  <si>
    <t xml:space="preserve"> Ochrona przeciwpowodziowa terenów położonych w zlewni rzeki Wisłoki Program Operacyjny Infratsruktura i Środowisko 2007 - 2013</t>
  </si>
  <si>
    <t>Ochrona przed powodzią w zlewni Wisłoki, w tym budowa zbiorników retencyjnych Kąty-Myscowa oraz Dukla</t>
  </si>
  <si>
    <t>Departament Programów Rozwoju Obszarów Wiejskich realizuje zadania własne w ramach trzech schematów Pomocy technicznej PROW 2007 - 2013.  Celem realizacji PT jest wsparcie systemu zarządzania, promowania i informowania o PROW. Zabezpieczenie środków na ten cel jest warunkiem niezbędnym do realizacji przez Departament PROW niezbędnych działań związanych z wdrażaniem PROW 2007-2013. Zadania Departamentu w tym zakresie są wynikiem realizacji obowiązków Samorządu Województwa Podkarpackiego zapisanych w ustawie z dnia 7 marca 2007 roku o wspieraniu rozwoju obszarów wiejskich (Dz.U. nr 64 poz 427 z późn. zm.) oraz wynikają z umowy nr 11/BZD-UM09/2009 zawartej w dniu 29 stycznia 2009r. pomierzy SW i ARiMR.</t>
  </si>
  <si>
    <t xml:space="preserve">Pomoc techniczna realizowana w ramach Programu Rozwoju Obszarów Wiejskich  na lata 2007 - 2013. </t>
  </si>
  <si>
    <t>Oddział wdrażania PO RYBY 2007-2013 Departamentu Programów Rozwoju Obszarów Wiejskich realizuje zadania własne w ramach trzech schematów Pomocy technicznej PO RYBY 2007 - 2013.  Celem realizacji PT jest wsparcie systemu zarządzania, promowania i informowania o PO RYBY 2007 - 2013. Zabezpieczenie środków na ten cel jest warunkiem niezbędnym do realizacji przez Oddział  PO RYBY  niezbędnych działań związanych z wdrażaniem PO RYBY 2007 - 2013. Zadania Oddziału w tym zakresie są wynikiem realizacji obowiązków Samorządu Województwa Podkarpackiego zapisanych w Rozporządzeniu Ministra Rolnictwa i Rozwoju Wsi z dn. 29 września 2009r  w sprzwie warunków i sposobu wykonywania zadań instytucji zarządzającej przez samorząd województwa</t>
  </si>
  <si>
    <t xml:space="preserve">Pomoc techniczna realizowana w ramach Programu Operacyjnego „Zrównoważony rozwój sektora rybołówstwa i nadbrzeżnych obszarów rybackich 2007-2013" </t>
  </si>
  <si>
    <t>RPO WP na lata 2007-2013 - Oś I ÷ VII  - dotacje dla beneficjentów programu</t>
  </si>
  <si>
    <r>
      <t>RPO WP na lata 2007-2013 - Oś I ÷</t>
    </r>
    <r>
      <rPr>
        <sz val="10.45"/>
        <rFont val="Calibri"/>
        <family val="2"/>
        <charset val="238"/>
        <scheme val="minor"/>
      </rPr>
      <t xml:space="preserve"> VII</t>
    </r>
  </si>
  <si>
    <t>Program Operacyjny Kapitał Ludzki, Priorytety VI-IX - dotacje dla beneficjentów programu</t>
  </si>
  <si>
    <t>Utworzenie Centrum Obsługi Inwestorów i Eksporterów w Województwie Podkarpackim</t>
  </si>
  <si>
    <t xml:space="preserve">Remonty cząstkowe nawierzchni dóg wojewódzkich </t>
  </si>
  <si>
    <t>Cele "Infrastruktura techniczna i informatyczna"  Poprawa dostępności i jakości infrastruktury transportowej</t>
  </si>
  <si>
    <t xml:space="preserve">Przygotowanie i realizacja budowy  północnej obwodnicy miasta Sokołowa Małopolskiego, celem dodatkowego skomunikowania z drogą wojewódzką Nr 875 Mielec – Kolbuszowa – Sokołów Małopolski – Leżajsk </t>
  </si>
  <si>
    <t>Nazwa przedsięwzięcia</t>
  </si>
  <si>
    <t>Cel przedsięwzięcia</t>
  </si>
  <si>
    <t xml:space="preserve"> Cele "Infrastruktura techniczna i informatyczna"  Poprawa dostępności i jakości infrastruktury transportowe</t>
  </si>
  <si>
    <t>Rozbudowa dr. woj. Nr 855 Olbięcin - Zaklików - Stalowa Wola odc. Granica Województwa - Stalowa Wola</t>
  </si>
  <si>
    <t xml:space="preserve"> Cele "Infrastruktura techniczna i informatyczna"  Poprawa dostępności i jakości infrastruktury transportowej</t>
  </si>
  <si>
    <t xml:space="preserve">Rozbudowa dr. woj. Nr 858 Zarzecze - Biłgoraj - Zwierzyniec - Szczebrzeszyn odc. Zarzecze - Granica Województwa </t>
  </si>
  <si>
    <t>Rozbudowa dr. woj. Nr 985 Nagnajów - Baranów Sandomierski - Mielec - Dębica na odc. Mielec - Dębica etap II</t>
  </si>
  <si>
    <t xml:space="preserve">Rozbudowa dr. woj. Nr 877 Naklik - Leżajsk - Łańcut - Dylągówka - Szklary odc. Granica Województwa - Leżajsk </t>
  </si>
  <si>
    <t xml:space="preserve">Rozbudowa dr. woj. Nr  880 Jarosław - Pruchnik </t>
  </si>
  <si>
    <t xml:space="preserve"> Rozbudowa dr. woj. Nr 892 Zagórz - Komańcza i dr. woj. Nr 897 Tylawa - Komańcza - Radoszyce - Cisna - Ustrzyki Górne - Wołosate Gr. Państwa odc. Komańcza - Radoszyce </t>
  </si>
  <si>
    <t>Stworzenie dogodnych powiązań komunikacyjnych województw Polski Wschodniej</t>
  </si>
  <si>
    <t xml:space="preserve">Likwidacja barier rozwojowych - most na Wiśle z rozbudową drogi wojewódzkiej Nr 764 oraz połączeniem z drogą wojewódzką Nr 875 </t>
  </si>
  <si>
    <t>Zbudowanie w województwie podkarpackim nowoczesnej infrastruktury publicznej bazującej na technologiach informatycznych</t>
  </si>
  <si>
    <t xml:space="preserve">Sieć Szerokopasmowa Polski Wschodniej - Województwo Podkarpackie </t>
  </si>
  <si>
    <t xml:space="preserve">PSeAP - Podkarpacki System e-Administracji Publicznej </t>
  </si>
  <si>
    <t>Uruchomienie w skali województwa jednorodnego systemu obiegu dokumentów i zarządzania sprawami oraz zdalnych usług</t>
  </si>
  <si>
    <t xml:space="preserve">Podkarpacki System Informacji Medycznej” "PSIM" </t>
  </si>
  <si>
    <t>Uruchomienie w skali województwa spójnego systemu wspierającego zarządzanie i funkcjonowanie opieki zdrowotnej w placówkach służby zdrowia</t>
  </si>
  <si>
    <t xml:space="preserve">Projekt systemowy pt. „Wzmocnienie instytucjonalnego systemu wdrażania Regionalnej Strategii Innowacji w latach 2007-2013 w województwie podkarpackim” </t>
  </si>
  <si>
    <t>Wzmocnienie instytucjonalnego systemu wdrażania Regionalnej Strategii Innowacji w latach 2007-2013 w województwie</t>
  </si>
  <si>
    <t>Zapewnienie prawidłowej obsługi wdrażania RPO WP</t>
  </si>
  <si>
    <t xml:space="preserve">Projekty pomocy technicznej - RPO WP </t>
  </si>
  <si>
    <t xml:space="preserve">System Informacji o Funduszach Europejskich- Program Operacyjny Pomoc Techniczna </t>
  </si>
  <si>
    <t xml:space="preserve">Objęcie akcji zwykłych imiennych Rzeszowskiej Agencji Rozwoju Regionalnego S.A. w Rzeszowie przez Województwo Podkarpackie </t>
  </si>
  <si>
    <t>Rozwój konkurencyjnej gospodarki opartej na wiedzy oraz poprawa atrakcyjności inwestycyjnej województwa podkarpackiego w oparciu o idee innowacyjności poprzez wzmocnienie i wykorzystanie regionalnego potencjału naukowo-badawczego oraz infrastrukturalnego</t>
  </si>
  <si>
    <t xml:space="preserve">Promocja Województwa Podkarpackiego przy wykorzystaniu działalności przewoźników lotniczych, jako platformy nowoczesnego systemu  przekazywania informacji o regionie </t>
  </si>
  <si>
    <t xml:space="preserve">Promocja Województwa Podkarpackiego </t>
  </si>
  <si>
    <t xml:space="preserve">Wydatki Regionalnego Punktu Kontaktowego EWT ** </t>
  </si>
  <si>
    <t xml:space="preserve">Poręczenie kredytu długoterminowego zaciągniętego przez  Wojewódzki Szpital Podkarpacki im.  Jana Pawła II w Krośnie  w Dexia Kommunalkredit Bank S.A. z siedzibą w Warszawie. zgodnie z Uchwałą Nr XII/191/07 Sejmiku Województwa Podkarpackiego z dnia 1 października 2007 r. </t>
  </si>
  <si>
    <t xml:space="preserve">Poręczenie kredytu długoterminowego zaciągniętego przez Szpital  Wojewódzki Nr 2 im. Św. Jadwigi Królowej w Rzeszowie w Dexia Kommunalkredit Bank S.A. z siedzibą w Warszawie zgodnie z Uchwałą Nr 101/1681/08 Zarządu Województwa Podkarpackiego z dnia 19 marca 2008 r. </t>
  </si>
  <si>
    <t>Poręczenie kredytu długoterminowego w kwocie 8.000.000 zł (9.755.170 zł z odsetkami).</t>
  </si>
  <si>
    <t xml:space="preserve">Poręczenie kredytu długoterminowego w kwocie 25.000.000 zł (35.924.535 zł z odsetkami) </t>
  </si>
  <si>
    <t xml:space="preserve">Poręczenie kredytu długoterminowego zaciągniętego przez Wojewódzki Szpital im. Św. Ojca Pio w Przemyślu  w Nordea Bank Polska S.A. z siedzibą w Gdyni zgodnie z Uchwałą Nr 105/1822/08 Zarządu Województwa Podkarpackiego z dnia 16 kwietnia 2008 r. </t>
  </si>
  <si>
    <t xml:space="preserve">Poręczenie kredytu długoterminowego zaciągniętego przez Wojewódzki Szpital im. Zofii z Zamoyskich Tarnowskiej w Tarnobrzegu  w Nordea Bank Polska S.A. z siedzibą w Gdyni zgodnie z Uchwałą Nr 309/6322/10 Zarządu Województwa Podkarpackiego z dnia 31 sierpnia 2010 r. </t>
  </si>
  <si>
    <t xml:space="preserve">Poręczenie kredytu długoterminowego w kwocie 3.000.000 zł (3.232.525 zł z odsetkami). </t>
  </si>
  <si>
    <t>Poręczenie kredytu długoterminowego w kwocie 12.000.000 zł (14.543.603 zł z odsetkami).</t>
  </si>
  <si>
    <t xml:space="preserve">Poręczenie kredytu długoterminowego zaciągniętego przez Szpital  Wojewódzki Nr 2 im. Św. Jadwigi Królowej w Rzeszowie w Bank Polska Kasa Opieki S.A. z siedzibą w Warszawie zgodnie z Uchwałą Nr 309/6323/10 Zarządu Województwa Podkarpackiego z dnia 31 sierpnia 2010 r. </t>
  </si>
  <si>
    <t>Wspieranie edukacji młodzieży z województwa podkarpackiego</t>
  </si>
  <si>
    <t>Wsparcie doktorantów z województwa podkarpackiego</t>
  </si>
  <si>
    <t>Modernizacja i doposażenie Szpitala Wojewódzkiego Nr 2 w Rzeszowie na potrzeby funkcjonowania centrum urazowego</t>
  </si>
  <si>
    <t xml:space="preserve"> Zrealizowanie wymogów rozporządzenia Ministra Zdrowia z dnia 10.11.2006r.</t>
  </si>
  <si>
    <t xml:space="preserve">Wojewódzki Program Profilaktyki i Rozwiązywania Problemów Alkoholowych na lata 2007-2013 </t>
  </si>
  <si>
    <t>Przeciwdziałanie alkoholizmowi na terenie województwa podkarpackiego</t>
  </si>
  <si>
    <t xml:space="preserve">Wojewódzki Program Pomocy Społecznej </t>
  </si>
  <si>
    <t>Łagodzenie skutków ubóstwa</t>
  </si>
  <si>
    <t xml:space="preserve">Szwajcarsko Polski Program Współpracy </t>
  </si>
  <si>
    <t>Zmniejszenie różnic społeczno - gospodarczych istniejących pomiędzy Polską a wyżej rozwiniętymi państwami UE oraz różnic na terytorium Polski pomiędzy ośrodkami miejskimi a regionami słabo rozwiniętymi pod względem strukturalnym</t>
  </si>
  <si>
    <t xml:space="preserve">Wojewódzki Program Na Rzecz Wyrównywania Szans Os. Niepełn. i Przeciwdz. Ich Wykluczeniu Społ. Na lata 2008-2020 </t>
  </si>
  <si>
    <t>Wyrównywanie szans osób niepełnosprawnych</t>
  </si>
  <si>
    <t xml:space="preserve">Program Operacyjny Kapitał Ludzki - Pomoc Techniczna </t>
  </si>
  <si>
    <t>Zapewnienie prawidłowej obsługi wdrażania POKL</t>
  </si>
  <si>
    <t>Szkolenie i specjalistyczne doradztwo dla kadr instytucji pomocy społecznej działających na terenie województwa podkarpackiego</t>
  </si>
  <si>
    <t xml:space="preserve">Muzeum Polaków ratujących Żydów na Podkarpaciu im. Rodziny Ulmów w Markowej </t>
  </si>
  <si>
    <t>Muzeum Polaków ratujących Żydów na Podkarpaciu im. Rodziny Ulmów w Markowej</t>
  </si>
  <si>
    <t>Jednostka odpowiedzialna lub koordynująca</t>
  </si>
  <si>
    <t>Okres realizacji</t>
  </si>
  <si>
    <t>Klasyfikacja Dział - Rozdział</t>
  </si>
  <si>
    <t>010 - 01008</t>
  </si>
  <si>
    <t xml:space="preserve">Centrum Obsługi Inwestorów i Eksporterów w Wojew. Podkarpackim, Program Operacyjny Innowacyjna Gospodarka, Działanie 6.2 Rozwój sieci centrów obsługi inwestorów i eksporterów oraz powstanie nowych terenów inwestycyjnych </t>
  </si>
  <si>
    <t>500 - 50005</t>
  </si>
  <si>
    <t>600 - 60001</t>
  </si>
  <si>
    <t>600 - 60013</t>
  </si>
  <si>
    <t>720 - 72095</t>
  </si>
  <si>
    <t>730 - 73095</t>
  </si>
  <si>
    <t>750 - 75018</t>
  </si>
  <si>
    <t>750 - 75071</t>
  </si>
  <si>
    <t>750 - 75075</t>
  </si>
  <si>
    <t>803 - 80309</t>
  </si>
  <si>
    <t>852 - 85295</t>
  </si>
  <si>
    <t>853 - 85395</t>
  </si>
  <si>
    <t>010 - 01041</t>
  </si>
  <si>
    <t>050 - 05011</t>
  </si>
  <si>
    <t>750 - 75095</t>
  </si>
  <si>
    <t>801 - 80195</t>
  </si>
  <si>
    <t>851 - 85111</t>
  </si>
  <si>
    <t>851 - 85154</t>
  </si>
  <si>
    <t>852 - 85217</t>
  </si>
  <si>
    <t>853 - 85311</t>
  </si>
  <si>
    <t>853 - 85332</t>
  </si>
  <si>
    <t>921 - 92118</t>
  </si>
  <si>
    <t>757 - 75704</t>
  </si>
  <si>
    <t>Zaprojektowanie i budowa lewostronnego obwałowania rzeki Wisłoki w km 53+800-55+600 w miejscowościach: Zawierzbie, Żyraków, na terenie gminy Żyraków, województwo podkarpackie</t>
  </si>
  <si>
    <t xml:space="preserve"> Zapewnienie bezpieczeństwa przeciwpowodziowego na odcinku 53+800-55+600 rzeki Wisłoki w miejscowościach Zawierzbie oraz Żyraków Regionalny Program Operacyjny Województwa Podkarpackiego 2007 – 2013</t>
  </si>
  <si>
    <t xml:space="preserve">Zapewnienie ochrony przeciwpowodziowej miejscowościom położonym poniżej planowanego zbiornika suchego wzdłuż rzeki Mleczki Kańczudzkiej 
a następnie rzeki Mleczki Regionalny Program Operacyjny Województwa Podkarpackiego 2007 – 2013
</t>
  </si>
  <si>
    <t>Zaprojektowanie i budowa suchego zbiornika przeciwpowodziowego (polderu przepływowego) pn. "Kańczuga" na rzece Mleczka Kańczudzka na terenie gminy Jawornik Polski oraz miasta i gminy Kańczuga</t>
  </si>
  <si>
    <t>Zabezpieczenie ludności, mienia i gospodarki przed negatywnymi skutkami powodzi i zapewnienie trwałości projektu</t>
  </si>
  <si>
    <t>Utrzymanie sygnalizacji świetlnej na sieci dróg wojewódzkich</t>
  </si>
  <si>
    <t>2012 - 2013</t>
  </si>
  <si>
    <t>2009 - 2018</t>
  </si>
  <si>
    <t xml:space="preserve">Poręczenie kredytu długoterminowego w kwocie 25.000.000 zł (36.773.446 zł) </t>
  </si>
  <si>
    <t xml:space="preserve">Urząd Marszałkowski Województwa Podkarpackiego </t>
  </si>
  <si>
    <t>2012 - 2018</t>
  </si>
  <si>
    <t>Projekt pn. Edukacja skuteczna, przyjazna, nowoczesna - rozwój kompetencji kadry zarządzającej i pedagogicznej szkół i placówek oświatowych w województwie podkarpackim realizowanym w ramach Programu Operacyjnego Kapitał Ludzki, Priorytet IX Rozwój wykształcenia i kompetencji w regionach, działanie 9.4 Wysoko wykwalifikowane kadry systemu oświaty</t>
  </si>
  <si>
    <t>Dostosowanie kompetencji i kwalifikacji nauczycieli i kadry zarządzającej województwa podkarpackiego do wymagań nowej podstawy programowej przez przeszkolenie 5000 nauczycieli (w tym kadry zarządzającej)</t>
  </si>
  <si>
    <t>801 - 80146</t>
  </si>
  <si>
    <t>Opracowanie bazy gleb województwa podkarpackiego</t>
  </si>
  <si>
    <t>Baza gleb województwa podkarpackiego</t>
  </si>
  <si>
    <t>710 - 71013</t>
  </si>
  <si>
    <t>Inne</t>
  </si>
  <si>
    <t>Dostawy i usługi na rzecz Urzędu Marszałkowskiego Województwa Podkarpackiego</t>
  </si>
  <si>
    <t xml:space="preserve">Zabezpieczenie środków dla zapewnienia ciągłości działania jednostki </t>
  </si>
  <si>
    <t>010 - 01008 010 - 01078</t>
  </si>
  <si>
    <t xml:space="preserve">Obserwatorium Integracji Społecznej - umowa nr CRZL/WRP II/1.16/1/10 do 2013 roku </t>
  </si>
  <si>
    <t>Łączne nakłady finansowe (ujęte w WPF)</t>
  </si>
  <si>
    <t>Poprawa powiązań komunikacyjnych i systemu komunikacji publicznej w województwie</t>
  </si>
  <si>
    <t>Odbudowa mostu na ulicy                             3 Maja w Ropczycach</t>
  </si>
  <si>
    <t>Poręczenie kredytu długoterminowego wraz z odsetkami zaciągniętego przez Wojewódzki Szpital im. Zofii z Zamoyskich Tarnowskiej w Tarnobrzegu  w Nordea Bank Polska S.A. z siedzibą w Gdyni zgodnie z Uchwałą Nr 68/1532/11 Zarządu Województwa Podkarpackiego z dnia 17 sierpnia 2011 r.</t>
  </si>
  <si>
    <t>Poręczenie kredytu długoterminowego w kwocie 2.000.000 zł (2.258.075 zł z odsetkami).</t>
  </si>
  <si>
    <t>"Zakup taboru kolejowego do obsługi połączeń międzywojewódzkich realizowanych przez województwa: małopolskie, podkarpackie, śląskie, świętokrzyskie", POIiŚ na lata 2007-2013 Działanie 7.1 Rozwój Transportu Kolejowego</t>
  </si>
  <si>
    <t>b-gw</t>
  </si>
  <si>
    <t>gw</t>
  </si>
  <si>
    <t>"Zakup pojazdów szynowych na potrzeby kolejowych przewozów osób w województwie podkarpackim", RPO WP na lata 2007-2013, Działanie 2.1 Infrastruktura komunikacyjna Schemat E: Infrastruktura kolejowa</t>
  </si>
  <si>
    <t>Budowa drogi obwodowej Mielca w ciągu drogi wojewódzkiej nr 985 Nagnajów - Dębica przebiegającej od miejscowości Tuszów Narodowy w km 20+636 do ulicy Dębickiej w km 38+522 wraz z niezbędną infrastrukturą techniczną, budowlami i urządzeniami budowlanymi</t>
  </si>
  <si>
    <t>2012 - 2014</t>
  </si>
  <si>
    <t>Dostawy i usługi na rzecz  Podkarpackiego Zarządu Melioracji i Urządzeń Wodnych w Rzeszowie</t>
  </si>
  <si>
    <t>010 - 01006 010 - 01008</t>
  </si>
  <si>
    <t>2012 - 2015</t>
  </si>
  <si>
    <t>150 - 15095</t>
  </si>
  <si>
    <t>Podkarpackie Obserwatorium Rynku Pracy</t>
  </si>
  <si>
    <t>Zwiększenie do końca 2013 r. poziomu wiedzy na temat trendów rozwojowych i sytuacji na rynku pracy wśród decydentów i pracowników podmiotów zajmujących się problematyką rynku pracy. Program Operacyjny Kapitał Ludzki, Poddziałanie 8.1.4</t>
  </si>
  <si>
    <t xml:space="preserve"> </t>
  </si>
  <si>
    <t xml:space="preserve">Podkarpacki Zarząd Melioracji i Urządzeń Wodnych </t>
  </si>
  <si>
    <t xml:space="preserve">Podkarpacki Zarząd Melioracji i Urządzeń Wodnych 
</t>
  </si>
  <si>
    <t xml:space="preserve">Podkarpaci Zarząd Melioracji i Urządzeń Wodnych </t>
  </si>
  <si>
    <t xml:space="preserve">Podkarpacki Zarząd Dróg Wojewódzkich w Rzeszowie </t>
  </si>
  <si>
    <t>Urząd Marszałkowski Województwa Podkarpackiego</t>
  </si>
  <si>
    <t xml:space="preserve">Podkarpackie Centrum Edukacji Nauczycieli w Rzeszowie </t>
  </si>
  <si>
    <t>Podkarpacki Zarząd Melioracji i Urządzeń Wodnych w Rzeszowie</t>
  </si>
  <si>
    <t xml:space="preserve">Wojewódzki Ośrodek Dokumentacji Geodezyjnej i Kartograficznej w Rzeszowie </t>
  </si>
  <si>
    <t xml:space="preserve">Muzeum-Zamek w Łańcucie </t>
  </si>
  <si>
    <t xml:space="preserve">150 - 15011     150 - 15013             801 - 80146     801 - 80195            852 - 85218     852 - 85219       852 - 85295       853 - 85395  854 -85415      854 -85495     </t>
  </si>
  <si>
    <t>Projekt pn.Podkarpacki fundusz stypendialny dla doktorantów realizowany w ramach Programu Operacyjnego Kapitał Ludzki Priorytet VIII Regionalne kadry gospodarki działanie 8.2 - Transfer wiedzy , poddziałanie 8.2.2 - Regionalne Strategie Innowacji</t>
  </si>
  <si>
    <t>Rozbudowa drogi wojewódzkiej Nr 869 łączącej węzeł A-4 Rzeszów Zachodni z węzłem S-19 Jasionka, połączonej w sposób bezkolizyjny z istniejącymi drogami krajowymi Nr 9 Radom - Barwinek i Nr 19 Kuźnica - Rzeszów i linią kolejową L-71</t>
  </si>
  <si>
    <t>Poprawa dostępności i jakości podróżowania</t>
  </si>
  <si>
    <t>Opracowanie koncepcji rozbudowy drogi wojewódzkiej Nr 988 Babica - Warzyce na odc. Babica - Twierdza</t>
  </si>
  <si>
    <t>Opracowanie dokumentacji projektowych i uzyskanie decyzji o zezwoleniu na realizację inwestycji drogowych</t>
  </si>
  <si>
    <t xml:space="preserve">Zakup pojazdów szynowych </t>
  </si>
  <si>
    <t>Zakup pojazdów szynowych na potrzeby kolejowych przewozów pasażerskich - poprawa dostępności i jakości podróżowania</t>
  </si>
  <si>
    <t>Rekompensata należna przewoźnikowi z tytułu wykonywania kolejowych przewozów osób - w ramach użyteczności publicznej</t>
  </si>
  <si>
    <t>Budowa Centrum Wystawienniczo - Kongresowego Województwa Podkarpackiego</t>
  </si>
  <si>
    <t xml:space="preserve">Dostawy i usługi na rzecz Medycznej Szkoły Policealnej im.prof.Rudolfa Weigla w Jaśle </t>
  </si>
  <si>
    <t xml:space="preserve">Medyczna Szkoła Policealna im.prof.Rudolfa Weigla w Jaśle </t>
  </si>
  <si>
    <t>2012-2013</t>
  </si>
  <si>
    <t>801-80130</t>
  </si>
  <si>
    <t xml:space="preserve">Dostawy i usługi na rzecz Medycznej Szkoły Policealnej im.Anny Jenke w Sanoku </t>
  </si>
  <si>
    <t>Medyczna Szkoła Policealna im.Anny Jenke w Sanoku</t>
  </si>
  <si>
    <t>2012-2014</t>
  </si>
  <si>
    <t xml:space="preserve">Dostawy i usługi na rzecz Medycznej Szkoły Policealnej  w Mielcu </t>
  </si>
  <si>
    <t>Medyczna Szkoła Policealna w Mielcu</t>
  </si>
  <si>
    <t xml:space="preserve">Dostawy i usługi na rzecz Medycznej Szkoły Policealnej  w Rzeszowie </t>
  </si>
  <si>
    <t>Medyczna Szkoła Policealna w Rzeszowie</t>
  </si>
  <si>
    <t xml:space="preserve">Dostawy i usługi na rzecz Kolegium Nauczycielskiego im.A.Fredry w Przemyślu </t>
  </si>
  <si>
    <t xml:space="preserve">Kolegium Nauczycielskie im.A.Fredry 
w Przemyślu </t>
  </si>
  <si>
    <t>801-80141</t>
  </si>
  <si>
    <t xml:space="preserve">Dostawy i usługi na rzecz Nauczycielskiego Kolegium Języków Obcych 
 w Nisku </t>
  </si>
  <si>
    <t xml:space="preserve">Nauczycielskie Kolegium Języków Obcych 
 w Nisku </t>
  </si>
  <si>
    <t xml:space="preserve">Dostawy i usługi na rzecz Nauczycielskiego Kolegium Języków Obcych 
 w Przemyślu </t>
  </si>
  <si>
    <t xml:space="preserve">Nauczycielskie Kolegium Języków Obcych 
 w Przemyślu </t>
  </si>
  <si>
    <t xml:space="preserve">Dostawy i usługi na rzecz Nauczycielskiego Kolegium Języków Obcych 
 w Rzeszowie </t>
  </si>
  <si>
    <t xml:space="preserve"> Nauczycielskie Kolegium Języków Obcych 
 w Rzeszowie </t>
  </si>
  <si>
    <t>2012-2015</t>
  </si>
  <si>
    <t xml:space="preserve">Dostawy i usługi na rzecz Nauczycielskiego Kolegium Języków Obcych 
 w Leżajsku </t>
  </si>
  <si>
    <t xml:space="preserve">Nauczycielskie Kolegium Języków Obcych 
 w Leżajsku </t>
  </si>
  <si>
    <t xml:space="preserve">Dostawy i usługi na rzecz Podkarpackiego Centrum Edukacji Nauczycieli  w Rzeszowie </t>
  </si>
  <si>
    <t>Podkarpackie Centrum Edukacji Nauczycieli  
w Rzeszowie</t>
  </si>
  <si>
    <t>801-80146</t>
  </si>
  <si>
    <t xml:space="preserve">Dostawy i usługi na rzecz Pedagogicznej Biblioteki Wojewódzkiej w Krośnie  </t>
  </si>
  <si>
    <t xml:space="preserve">Pedagogiczna Biblioteka Wojewódzka
w Krośnie </t>
  </si>
  <si>
    <t>801-80147</t>
  </si>
  <si>
    <t xml:space="preserve">Dostawy i usługi na rzecz Pedagogicznej Biblioteki Wojewódzkiej im.J.G.Pawlikowskiego w Przemyślu </t>
  </si>
  <si>
    <t xml:space="preserve">Pedagogiczna Biblioteka Wojewódzka im.J.G.Pawlikowskiego w Przemyślu </t>
  </si>
  <si>
    <t>Dostawy i usługi na rzecz  Biblioteki Pedagogicznej w Tarnobrzegu</t>
  </si>
  <si>
    <t>801-80130 854-85410</t>
  </si>
  <si>
    <t>Projekt 1031 R4 TOURAGE</t>
  </si>
  <si>
    <t>Wzmocnienie regionalnych gospodarek poprzez rozwój turystyki seniorów oraz wsparcie dla rozwiązań umożliwiających aktywne i zdrowe starzenie się, poprzez wymianę dobrych praktyk i doświadczeń pomiędzy regionami partnerskimi</t>
  </si>
  <si>
    <t>Podkarpackie Biuro Geodezji i Terenów Rolnych w Rzeszowie</t>
  </si>
  <si>
    <t>010 - 01004</t>
  </si>
  <si>
    <t>1b</t>
  </si>
  <si>
    <t>Przebudowa i remont instalacji w budynku biurowym przy ulicy Targowej 1 w Rzeszowie</t>
  </si>
  <si>
    <t>Wyposażenie budynku biurowego w system sygnalizacji pożaru, dźwiękowy system ostrzegawczy, oraz instalację wodociągową przeciwpożarową z hydrantami. Wymiana przewodów elektrycznych na miedziane i wymiana innych urządzeń zabezpieczających</t>
  </si>
  <si>
    <t>prz ogółem</t>
  </si>
  <si>
    <t>b</t>
  </si>
  <si>
    <t>m</t>
  </si>
  <si>
    <t>prz ogołem</t>
  </si>
  <si>
    <t>Utrzymanie urządzeń melioracji wodnych podstawowych</t>
  </si>
  <si>
    <t xml:space="preserve">Zabezpieczenie ludności, mienia i gospodarki przed negatywnymi skutkami powodzi </t>
  </si>
  <si>
    <t>"Budowa prawobrzeżnego wału przeciwpowodziowego na rzece Ropie w km 2+850 - 3+210 o długości 360 m w m. Jasło, woj. podkarpackie''. Zadanie ujęte w ramach zlewni: Ochrona przed powodzią w zlewni Wisłoki, w tym budowa zbiorników retencyjnych Kąty - Myscowa oraz Dukla</t>
  </si>
  <si>
    <t>Przygotowanie dokumentacji i terenu pod inwestycje - teren województwa podkarpackiego. Zadanie ujęte w ramach zlewni: Zabezpieczenie przez zagrożeniem powodziowym doliny Wisły na odcinku od ujścia Wisłoki do ujścia Sanny</t>
  </si>
  <si>
    <t>Opracowanie dokumentacji projektowych m.in.projektów budowlano - wykonawczych oraz innych niezbędnych dokumentacji, wykup nieruchomości gruntowych.</t>
  </si>
  <si>
    <t xml:space="preserve">010 - 01008      010 - 01078      010 - 01095        710 - 71095 </t>
  </si>
  <si>
    <t>010 - 01008      010 - 01078</t>
  </si>
  <si>
    <t>010 - 01008    010 - 01078</t>
  </si>
  <si>
    <t xml:space="preserve">Utrzymanie urządzeń  melioracji wodnych podstawowych </t>
  </si>
  <si>
    <t>2002 - 2013</t>
  </si>
  <si>
    <t>Kompleksowa modernizacja, odnowa i ochrona budynku Centrum Kulturalnego w Przemyślu - wojewódzkiej instytucji kultury (II część)</t>
  </si>
  <si>
    <t>Celem projektu jest poprawa bazy lokalowej i wyposażenia Centrum Kulturalnego w Przemyślu, odnowa i ochrona budynku wpisanego do rejestru zabytków, udostępnienie budynku dla osób niepełnosprawnych oraz poprawa wydajności energetycznej budynku</t>
  </si>
  <si>
    <t>Centrum Kulturalne w Przemyślu</t>
  </si>
  <si>
    <t>2008 -2013</t>
  </si>
  <si>
    <t>921 - 92109</t>
  </si>
  <si>
    <t>150 - 15011  400 - 40001  400 - 40003  400 - 40095
720 - 72095 750 - 75095    851 - 85115 921 - 92120 921 - 92195</t>
  </si>
  <si>
    <t>Poręczenie kredytu długoterminowego w kwocie 330.000 zł (396.855 zł z odsetkami).</t>
  </si>
  <si>
    <t>Podkarpacka Agencja Energetyczna Sp. z o.o. w Rzeszowie</t>
  </si>
  <si>
    <t>Program Operacyjny Kapitał Ludzki, Priorytety VI-IX (z wyłączeniem projektu własnego WUP w ramach Poddziałania 8.1.4 PO KL oraz działania 9.2 PO KL)</t>
  </si>
  <si>
    <t>2009 - 2014</t>
  </si>
  <si>
    <t>Trasy rowerowe w Polsce Wschodniej</t>
  </si>
  <si>
    <t>Kompleksowy projekt zakładający utworzenie ponadregionalnej trasy rowerowej w pięciu województwach Polski Wschodniej</t>
  </si>
  <si>
    <t>2013 - 2014</t>
  </si>
  <si>
    <t>"Podkarpacie stawia na zawodowców" - Projekt systemowy</t>
  </si>
  <si>
    <t>Wzmocnienie atrakcyjności i podniesienie jakości oferty edukacyjnej szkół i placówek oświatowych prowadzących kształcenie zawodowe (z wyłączeniem kształcenia osób dorosłych), służące podniesieniu zdolności uczniów do przyszłego zatrudnienia</t>
  </si>
  <si>
    <t>Sporządzenie Wojewódzkiego Programu Rozwoju Odnawialnych Źródeł Energii dla Województwa Podkarpackiego</t>
  </si>
  <si>
    <t>Ułatwienie inwestorom realizacji działań z zakresu energetyki odnawialnej poprzez wskazanie obszarów o korzystnych warunkach dla poszczególnych typów inwestycji, z podaniem ograniczeń jakie są związane z danymi lokalizacjami</t>
  </si>
  <si>
    <t>900 - 90005</t>
  </si>
  <si>
    <t>Wojewódzki Ośrodek Dokumentacji Geodezyjnej i Kartograficznej w Rzeszowie</t>
  </si>
  <si>
    <t>710 - 71012</t>
  </si>
  <si>
    <t>Studium wykonalności dla zadania "Budowa połączenia kolejowego do Portu Lotniczego Rzeszów - Jasionka"</t>
  </si>
  <si>
    <t>Poprawa dostępności i jakości podróżwoania</t>
  </si>
  <si>
    <t>2012 -2013</t>
  </si>
  <si>
    <t>600 - 60002</t>
  </si>
  <si>
    <t>2012 - 2017</t>
  </si>
  <si>
    <t>Projekt 1130 R4 MOG</t>
  </si>
  <si>
    <t>Stworzenie dokumentu "przewodnika" odnoszącego się do problematyki zrównoważonego transportu na obszarach wiejskich</t>
  </si>
  <si>
    <t>Rozbudowa i modernizacja Szpitala Wojewódzkiego Nr 2 w Rzeszowie</t>
  </si>
  <si>
    <t>Zabezpieczenie potrzeb w zakresie rehabilitacji dzieci i młodzieży oraz dostosowanie obiektów do wymagań zgodnie z Rozporządzeniem Ministra Zdrowia z dnia 2 lutego 2011 r.</t>
  </si>
  <si>
    <t>2007 - 2013</t>
  </si>
  <si>
    <t>Dostawy i usługi na rzecz Wojewódzkiego Ośrodka Dokumentacji Geodezyjnej i Kartograficznej w Rzeszowie</t>
  </si>
  <si>
    <t>Promocja gospodarcza i turystyczna Województwa Podkarpackiego za pośrednictwem przewoźnika lotniczego w Europie</t>
  </si>
  <si>
    <t>Dostawy i usługi na rzecz Wojewódzkiego Urzędu Pracy w Rzeszowie</t>
  </si>
  <si>
    <t xml:space="preserve">Poręczenie kredytu długoterminowego wraz z odsetkami zaciągniętego przez Podkarpacką Agencję Energetyczną Sp. z o.o w Rzeszowie </t>
  </si>
  <si>
    <t>630 - 63095</t>
  </si>
  <si>
    <t>Realizacja zadania polegająca na prowadzeniu Głównego Punktu Informacyjnego przy Urzędzie Marszałkowskim Województwa Podkarpackiego oraz koordynacja, promocja, monitoring, kontrola oraz ocena działalności sieci Lokalnych Punktów Informacyjnych -Program Operacyjny Pomoc Techniczna</t>
  </si>
  <si>
    <t>Stworzenie szans na lepsze planowanie polityk i strategii rozwiązywania problemów alkoholowych</t>
  </si>
  <si>
    <t>Funkcjonowanie centrum jako ośrodka wspomagającego wdrażanie programów i projektów służących wzrostowi konkurencyjności i atrakcyjności regionów Polski Wschodniej</t>
  </si>
  <si>
    <t>Współpraca transgraniczna: Polska-Ukraina-Białoruś oraz Polska-Republika Słowacka</t>
  </si>
  <si>
    <t xml:space="preserve">Pogram wspierania edukacji uzdolnionej młodzieży "Nie zagubić talentu" - stypendia. </t>
  </si>
  <si>
    <t>Biblioteka Pedagogiczna w Tarnobrzegu</t>
  </si>
  <si>
    <t>Przygotowanie i realizacja budowy łącznika drogi woj. Nr 835 Lublin - gr. Woj. - Przeworsk - Kańczuga - Dynów - Grabownica Starzeńska</t>
  </si>
  <si>
    <t xml:space="preserve">Remonty cząstkowe nawierzchni dróg wojewódzkich </t>
  </si>
  <si>
    <t>Załącznik Nr 2 
do autoporawki do projektu Uchwały Nr ……/……./                     
Sejmiku Województwa Podkarpackiego
 z dnia…………………………..r.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</si>
</sst>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.4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0" fillId="0" borderId="0"/>
    <xf numFmtId="0" fontId="11" fillId="0" borderId="0"/>
  </cellStyleXfs>
  <cellXfs count="270">
    <xf numFmtId="0" fontId="0" fillId="0" borderId="0" xfId="0"/>
    <xf numFmtId="3" fontId="0" fillId="0" borderId="0" xfId="0" applyNumberFormat="1"/>
    <xf numFmtId="3" fontId="0" fillId="0" borderId="4" xfId="0" applyNumberFormat="1" applyBorder="1"/>
    <xf numFmtId="3" fontId="3" fillId="0" borderId="4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/>
    <xf numFmtId="3" fontId="4" fillId="0" borderId="4" xfId="0" applyNumberFormat="1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4" fillId="0" borderId="6" xfId="0" applyNumberFormat="1" applyFont="1" applyBorder="1"/>
    <xf numFmtId="0" fontId="4" fillId="0" borderId="6" xfId="0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0" fillId="0" borderId="0" xfId="0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Fill="1" applyBorder="1" applyAlignment="1">
      <alignment wrapText="1"/>
    </xf>
    <xf numFmtId="3" fontId="4" fillId="0" borderId="4" xfId="0" applyNumberFormat="1" applyFont="1" applyFill="1" applyBorder="1"/>
    <xf numFmtId="0" fontId="0" fillId="0" borderId="0" xfId="0" applyFill="1"/>
    <xf numFmtId="0" fontId="4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/>
    <xf numFmtId="0" fontId="4" fillId="0" borderId="4" xfId="0" applyFont="1" applyBorder="1" applyAlignment="1">
      <alignment vertical="center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4" fillId="0" borderId="8" xfId="0" applyFont="1" applyBorder="1" applyAlignment="1">
      <alignment vertical="center"/>
    </xf>
    <xf numFmtId="0" fontId="0" fillId="0" borderId="8" xfId="0" applyBorder="1" applyAlignment="1"/>
    <xf numFmtId="0" fontId="4" fillId="2" borderId="4" xfId="0" applyFont="1" applyFill="1" applyBorder="1"/>
    <xf numFmtId="3" fontId="4" fillId="2" borderId="4" xfId="0" applyNumberFormat="1" applyFont="1" applyFill="1" applyBorder="1"/>
    <xf numFmtId="0" fontId="0" fillId="2" borderId="0" xfId="0" applyFill="1"/>
    <xf numFmtId="0" fontId="4" fillId="2" borderId="4" xfId="0" applyFont="1" applyFill="1" applyBorder="1" applyAlignment="1">
      <alignment wrapText="1"/>
    </xf>
    <xf numFmtId="3" fontId="0" fillId="2" borderId="4" xfId="0" applyNumberForma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4" xfId="0" applyFill="1" applyBorder="1" applyAlignment="1">
      <alignment wrapText="1"/>
    </xf>
    <xf numFmtId="3" fontId="0" fillId="0" borderId="6" xfId="0" applyNumberFormat="1" applyBorder="1"/>
    <xf numFmtId="0" fontId="4" fillId="3" borderId="4" xfId="0" applyFont="1" applyFill="1" applyBorder="1"/>
    <xf numFmtId="3" fontId="4" fillId="3" borderId="4" xfId="0" applyNumberFormat="1" applyFont="1" applyFill="1" applyBorder="1"/>
    <xf numFmtId="0" fontId="0" fillId="3" borderId="0" xfId="0" applyFill="1"/>
    <xf numFmtId="0" fontId="4" fillId="4" borderId="4" xfId="0" applyFont="1" applyFill="1" applyBorder="1"/>
    <xf numFmtId="3" fontId="4" fillId="4" borderId="4" xfId="0" applyNumberFormat="1" applyFont="1" applyFill="1" applyBorder="1"/>
    <xf numFmtId="0" fontId="0" fillId="4" borderId="0" xfId="0" applyFill="1"/>
    <xf numFmtId="3" fontId="0" fillId="3" borderId="4" xfId="0" applyNumberFormat="1" applyFill="1" applyBorder="1"/>
    <xf numFmtId="0" fontId="4" fillId="5" borderId="5" xfId="0" applyFont="1" applyFill="1" applyBorder="1"/>
    <xf numFmtId="3" fontId="4" fillId="5" borderId="5" xfId="0" applyNumberFormat="1" applyFont="1" applyFill="1" applyBorder="1"/>
    <xf numFmtId="0" fontId="0" fillId="5" borderId="0" xfId="0" applyFill="1"/>
    <xf numFmtId="0" fontId="4" fillId="5" borderId="8" xfId="0" applyFont="1" applyFill="1" applyBorder="1" applyAlignment="1"/>
    <xf numFmtId="0" fontId="4" fillId="5" borderId="8" xfId="0" applyFont="1" applyFill="1" applyBorder="1"/>
    <xf numFmtId="0" fontId="4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4" xfId="0" applyFont="1" applyBorder="1" applyAlignment="1">
      <alignment vertical="center" wrapText="1"/>
    </xf>
    <xf numFmtId="3" fontId="4" fillId="4" borderId="4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Fill="1" applyBorder="1"/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 applyAlignment="1"/>
    <xf numFmtId="3" fontId="4" fillId="3" borderId="4" xfId="0" applyNumberFormat="1" applyFont="1" applyFill="1" applyBorder="1"/>
    <xf numFmtId="0" fontId="3" fillId="0" borderId="24" xfId="0" applyFont="1" applyBorder="1" applyAlignment="1">
      <alignment vertical="center" wrapText="1"/>
    </xf>
    <xf numFmtId="0" fontId="4" fillId="2" borderId="8" xfId="0" applyFont="1" applyFill="1" applyBorder="1" applyAlignment="1">
      <alignment wrapText="1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0" fillId="0" borderId="0" xfId="0" applyFont="1"/>
    <xf numFmtId="0" fontId="0" fillId="0" borderId="4" xfId="0" applyFont="1" applyBorder="1"/>
    <xf numFmtId="3" fontId="6" fillId="4" borderId="4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0" fillId="0" borderId="0" xfId="0" applyAlignment="1">
      <alignment horizontal="left"/>
    </xf>
    <xf numFmtId="0" fontId="13" fillId="6" borderId="0" xfId="0" applyFont="1" applyFill="1"/>
    <xf numFmtId="0" fontId="14" fillId="6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0" fillId="0" borderId="8" xfId="0" applyBorder="1"/>
    <xf numFmtId="3" fontId="0" fillId="4" borderId="0" xfId="0" applyNumberFormat="1" applyFill="1"/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9" fillId="0" borderId="22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8" xfId="0" applyFont="1" applyFill="1" applyBorder="1" applyAlignment="1"/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/>
    <xf numFmtId="0" fontId="4" fillId="0" borderId="6" xfId="0" applyFont="1" applyFill="1" applyBorder="1" applyAlignment="1">
      <alignment horizontal="center" vertical="center" wrapText="1"/>
    </xf>
    <xf numFmtId="3" fontId="0" fillId="0" borderId="4" xfId="0" applyNumberFormat="1" applyFill="1" applyBorder="1"/>
    <xf numFmtId="0" fontId="1" fillId="0" borderId="6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3" fillId="0" borderId="6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vertical="center"/>
    </xf>
    <xf numFmtId="3" fontId="3" fillId="0" borderId="5" xfId="1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vertical="center"/>
    </xf>
    <xf numFmtId="3" fontId="4" fillId="0" borderId="6" xfId="0" applyNumberFormat="1" applyFont="1" applyFill="1" applyBorder="1"/>
    <xf numFmtId="0" fontId="4" fillId="0" borderId="8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/>
    <xf numFmtId="0" fontId="0" fillId="0" borderId="0" xfId="0" applyFont="1" applyFill="1"/>
    <xf numFmtId="0" fontId="1" fillId="0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9" fillId="0" borderId="22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22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9" fillId="0" borderId="22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0" fontId="4" fillId="4" borderId="22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4" borderId="8" xfId="0" applyFont="1" applyFill="1" applyBorder="1" applyAlignment="1">
      <alignment horizontal="left" wrapText="1"/>
    </xf>
    <xf numFmtId="0" fontId="6" fillId="4" borderId="22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5" borderId="22" xfId="0" applyFont="1" applyFill="1" applyBorder="1" applyAlignment="1">
      <alignment wrapText="1"/>
    </xf>
    <xf numFmtId="0" fontId="9" fillId="5" borderId="6" xfId="0" applyFont="1" applyFill="1" applyBorder="1" applyAlignment="1">
      <alignment wrapText="1"/>
    </xf>
    <xf numFmtId="0" fontId="6" fillId="5" borderId="20" xfId="0" applyFont="1" applyFill="1" applyBorder="1" applyAlignment="1">
      <alignment wrapText="1"/>
    </xf>
    <xf numFmtId="0" fontId="6" fillId="5" borderId="23" xfId="0" applyFont="1" applyFill="1" applyBorder="1" applyAlignment="1">
      <alignment wrapText="1"/>
    </xf>
    <xf numFmtId="0" fontId="6" fillId="5" borderId="21" xfId="0" applyFont="1" applyFill="1" applyBorder="1" applyAlignment="1">
      <alignment wrapText="1"/>
    </xf>
    <xf numFmtId="0" fontId="4" fillId="5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wrapText="1"/>
    </xf>
    <xf numFmtId="0" fontId="6" fillId="3" borderId="22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wrapText="1"/>
    </xf>
    <xf numFmtId="0" fontId="4" fillId="3" borderId="22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5" borderId="8" xfId="0" applyFont="1" applyFill="1" applyBorder="1" applyAlignment="1">
      <alignment wrapText="1"/>
    </xf>
    <xf numFmtId="0" fontId="4" fillId="5" borderId="22" xfId="0" applyFont="1" applyFill="1" applyBorder="1" applyAlignment="1">
      <alignment wrapText="1"/>
    </xf>
    <xf numFmtId="0" fontId="4" fillId="5" borderId="6" xfId="0" applyFont="1" applyFill="1" applyBorder="1" applyAlignment="1">
      <alignment wrapText="1"/>
    </xf>
    <xf numFmtId="0" fontId="4" fillId="5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</cellXfs>
  <cellStyles count="11">
    <cellStyle name="Dziesiętny" xfId="1" builtinId="3"/>
    <cellStyle name="Normalny" xfId="0" builtinId="0"/>
    <cellStyle name="Normalny 2" xfId="8"/>
    <cellStyle name="Normalny 2 2" xfId="2"/>
    <cellStyle name="Normalny 2 2 2" xfId="7"/>
    <cellStyle name="Normalny 2 2 3" xfId="10"/>
    <cellStyle name="Normalny 2 3" xfId="9"/>
    <cellStyle name="Normalny 3" xfId="3"/>
    <cellStyle name="Normalny 3 2" xfId="5"/>
    <cellStyle name="Normalny 3 2 2" xfId="6"/>
    <cellStyle name="Normalny 4" xfId="4"/>
  </cellStyles>
  <dxfs count="0"/>
  <tableStyles count="0" defaultTableStyle="TableStyleMedium9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11"/>
  <sheetViews>
    <sheetView tabSelected="1" view="pageBreakPreview" zoomScale="80" zoomScaleNormal="70" zoomScaleSheetLayoutView="80" workbookViewId="0">
      <pane ySplit="3" topLeftCell="A192" activePane="bottomLeft" state="frozen"/>
      <selection pane="bottomLeft" activeCell="A113" sqref="A113:XFD117"/>
    </sheetView>
  </sheetViews>
  <sheetFormatPr defaultRowHeight="14.25"/>
  <cols>
    <col min="1" max="1" width="3.25" bestFit="1" customWidth="1"/>
    <col min="2" max="2" width="27.125" style="18" customWidth="1"/>
    <col min="3" max="3" width="25.25" style="18" customWidth="1"/>
    <col min="4" max="4" width="17.25" customWidth="1"/>
    <col min="5" max="5" width="3.75" customWidth="1"/>
    <col min="6" max="6" width="3.875" customWidth="1"/>
    <col min="7" max="7" width="10.5" customWidth="1"/>
    <col min="8" max="8" width="13.25" customWidth="1"/>
    <col min="9" max="9" width="11.875" customWidth="1"/>
    <col min="10" max="11" width="11.625" bestFit="1" customWidth="1"/>
    <col min="12" max="12" width="11.875" bestFit="1" customWidth="1"/>
    <col min="13" max="13" width="10.75" bestFit="1" customWidth="1"/>
    <col min="14" max="14" width="10.5" customWidth="1"/>
    <col min="15" max="15" width="10.75" bestFit="1" customWidth="1"/>
    <col min="16" max="16" width="10.5" customWidth="1"/>
    <col min="17" max="17" width="9.625" customWidth="1"/>
    <col min="18" max="18" width="10.875" customWidth="1"/>
    <col min="19" max="19" width="9.625" customWidth="1"/>
    <col min="20" max="21" width="8.375" customWidth="1"/>
    <col min="22" max="22" width="8.125" customWidth="1"/>
    <col min="23" max="23" width="11.625" customWidth="1"/>
    <col min="24" max="24" width="10.75" bestFit="1" customWidth="1"/>
  </cols>
  <sheetData>
    <row r="1" spans="1:23" ht="65.25" customHeight="1" thickBot="1">
      <c r="I1" s="68"/>
      <c r="J1" s="68"/>
      <c r="K1" s="68"/>
      <c r="L1" s="68"/>
      <c r="M1" s="68"/>
      <c r="N1" s="68"/>
      <c r="O1" s="68"/>
      <c r="P1" s="78"/>
      <c r="Q1" s="245" t="s">
        <v>296</v>
      </c>
      <c r="R1" s="245"/>
      <c r="S1" s="245"/>
      <c r="T1" s="245"/>
      <c r="U1" s="245"/>
      <c r="V1" s="78"/>
      <c r="W1" s="63"/>
    </row>
    <row r="2" spans="1:23" ht="30.75" customHeight="1" thickBot="1">
      <c r="A2" s="30" t="s">
        <v>0</v>
      </c>
      <c r="B2" s="246" t="s">
        <v>59</v>
      </c>
      <c r="C2" s="247" t="s">
        <v>60</v>
      </c>
      <c r="D2" s="246" t="s">
        <v>113</v>
      </c>
      <c r="E2" s="249" t="s">
        <v>114</v>
      </c>
      <c r="F2" s="250"/>
      <c r="G2" s="247" t="s">
        <v>115</v>
      </c>
      <c r="H2" s="247" t="s">
        <v>162</v>
      </c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4"/>
      <c r="W2" s="244" t="s">
        <v>1</v>
      </c>
    </row>
    <row r="3" spans="1:23" ht="24" customHeight="1" thickBot="1">
      <c r="A3" s="31"/>
      <c r="B3" s="246"/>
      <c r="C3" s="248"/>
      <c r="D3" s="246"/>
      <c r="E3" s="251"/>
      <c r="F3" s="252"/>
      <c r="G3" s="248"/>
      <c r="H3" s="248"/>
      <c r="I3" s="6">
        <v>2012</v>
      </c>
      <c r="J3" s="6">
        <v>2013</v>
      </c>
      <c r="K3" s="82">
        <v>2014</v>
      </c>
      <c r="L3" s="6">
        <v>2015</v>
      </c>
      <c r="M3" s="6">
        <v>2016</v>
      </c>
      <c r="N3" s="6">
        <v>2017</v>
      </c>
      <c r="O3" s="6">
        <v>2018</v>
      </c>
      <c r="P3" s="6">
        <v>2019</v>
      </c>
      <c r="Q3" s="6">
        <v>2020</v>
      </c>
      <c r="R3" s="6">
        <v>2021</v>
      </c>
      <c r="S3" s="6">
        <v>2022</v>
      </c>
      <c r="T3" s="6">
        <v>2023</v>
      </c>
      <c r="U3" s="6">
        <v>2024</v>
      </c>
      <c r="V3" s="6">
        <v>2025</v>
      </c>
      <c r="W3" s="244"/>
    </row>
    <row r="4" spans="1:23" ht="15">
      <c r="A4" s="7"/>
      <c r="B4" s="19"/>
      <c r="C4" s="19"/>
      <c r="D4" s="7"/>
      <c r="E4" s="213"/>
      <c r="F4" s="214"/>
      <c r="G4" s="6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50" customFormat="1" ht="15" customHeight="1">
      <c r="A5" s="215" t="s">
        <v>5</v>
      </c>
      <c r="B5" s="216"/>
      <c r="C5" s="216"/>
      <c r="D5" s="216"/>
      <c r="E5" s="216"/>
      <c r="F5" s="216"/>
      <c r="G5" s="217"/>
      <c r="H5" s="49">
        <f>SUM(H6:H7)</f>
        <v>2941038498</v>
      </c>
      <c r="I5" s="49">
        <f t="shared" ref="I5:V5" si="0">SUM(I6:I7)</f>
        <v>619126577</v>
      </c>
      <c r="J5" s="49">
        <f t="shared" si="0"/>
        <v>1087416691</v>
      </c>
      <c r="K5" s="49">
        <f t="shared" si="0"/>
        <v>651408133</v>
      </c>
      <c r="L5" s="49">
        <f t="shared" si="0"/>
        <v>140599140</v>
      </c>
      <c r="M5" s="49">
        <f t="shared" si="0"/>
        <v>14998444</v>
      </c>
      <c r="N5" s="49">
        <f t="shared" si="0"/>
        <v>14243356</v>
      </c>
      <c r="O5" s="49">
        <f t="shared" si="0"/>
        <v>20665853</v>
      </c>
      <c r="P5" s="49">
        <f t="shared" si="0"/>
        <v>5273096</v>
      </c>
      <c r="Q5" s="49">
        <f t="shared" si="0"/>
        <v>1559723</v>
      </c>
      <c r="R5" s="49">
        <f t="shared" si="0"/>
        <v>200000</v>
      </c>
      <c r="S5" s="49">
        <f t="shared" si="0"/>
        <v>200000</v>
      </c>
      <c r="T5" s="49">
        <f t="shared" si="0"/>
        <v>200000</v>
      </c>
      <c r="U5" s="49">
        <f t="shared" si="0"/>
        <v>200000</v>
      </c>
      <c r="V5" s="49">
        <f t="shared" si="0"/>
        <v>200000</v>
      </c>
      <c r="W5" s="64">
        <f>SUM(W9,W221,W225)</f>
        <v>1489629988</v>
      </c>
    </row>
    <row r="6" spans="1:23" s="50" customFormat="1" ht="15">
      <c r="A6" s="210" t="s">
        <v>3</v>
      </c>
      <c r="B6" s="211"/>
      <c r="C6" s="212"/>
      <c r="D6" s="48"/>
      <c r="E6" s="208"/>
      <c r="F6" s="209"/>
      <c r="G6" s="58"/>
      <c r="H6" s="49">
        <f t="shared" ref="H6:V6" si="1">SUM(H10,H222,H226)</f>
        <v>703775073</v>
      </c>
      <c r="I6" s="49">
        <f t="shared" si="1"/>
        <v>192494114</v>
      </c>
      <c r="J6" s="49">
        <f t="shared" si="1"/>
        <v>209441849</v>
      </c>
      <c r="K6" s="49">
        <f t="shared" si="1"/>
        <v>87191503</v>
      </c>
      <c r="L6" s="49">
        <f t="shared" si="1"/>
        <v>34504698</v>
      </c>
      <c r="M6" s="49">
        <f t="shared" si="1"/>
        <v>4998444</v>
      </c>
      <c r="N6" s="49">
        <f t="shared" si="1"/>
        <v>4243356</v>
      </c>
      <c r="O6" s="49">
        <f t="shared" si="1"/>
        <v>2839254</v>
      </c>
      <c r="P6" s="49">
        <f t="shared" si="1"/>
        <v>2446497</v>
      </c>
      <c r="Q6" s="49">
        <f t="shared" si="1"/>
        <v>1559723</v>
      </c>
      <c r="R6" s="49">
        <f t="shared" si="1"/>
        <v>200000</v>
      </c>
      <c r="S6" s="49">
        <f t="shared" si="1"/>
        <v>200000</v>
      </c>
      <c r="T6" s="49">
        <f t="shared" si="1"/>
        <v>200000</v>
      </c>
      <c r="U6" s="49">
        <f t="shared" si="1"/>
        <v>200000</v>
      </c>
      <c r="V6" s="49">
        <f t="shared" si="1"/>
        <v>200000</v>
      </c>
      <c r="W6" s="49"/>
    </row>
    <row r="7" spans="1:23" s="50" customFormat="1" ht="15">
      <c r="A7" s="210" t="s">
        <v>4</v>
      </c>
      <c r="B7" s="211"/>
      <c r="C7" s="212"/>
      <c r="D7" s="48"/>
      <c r="E7" s="208"/>
      <c r="F7" s="209"/>
      <c r="G7" s="58"/>
      <c r="H7" s="49">
        <f t="shared" ref="H7:V7" si="2">SUM(H11,H223,H227)</f>
        <v>2237263425</v>
      </c>
      <c r="I7" s="49">
        <f t="shared" si="2"/>
        <v>426632463</v>
      </c>
      <c r="J7" s="49">
        <f t="shared" si="2"/>
        <v>877974842</v>
      </c>
      <c r="K7" s="49">
        <f t="shared" si="2"/>
        <v>564216630</v>
      </c>
      <c r="L7" s="49">
        <f t="shared" si="2"/>
        <v>106094442</v>
      </c>
      <c r="M7" s="49">
        <f t="shared" si="2"/>
        <v>10000000</v>
      </c>
      <c r="N7" s="49">
        <f t="shared" si="2"/>
        <v>10000000</v>
      </c>
      <c r="O7" s="49">
        <f t="shared" si="2"/>
        <v>17826599</v>
      </c>
      <c r="P7" s="49">
        <f t="shared" si="2"/>
        <v>2826599</v>
      </c>
      <c r="Q7" s="49">
        <f t="shared" si="2"/>
        <v>0</v>
      </c>
      <c r="R7" s="49">
        <f t="shared" si="2"/>
        <v>0</v>
      </c>
      <c r="S7" s="49">
        <f t="shared" si="2"/>
        <v>0</v>
      </c>
      <c r="T7" s="49">
        <f t="shared" si="2"/>
        <v>0</v>
      </c>
      <c r="U7" s="49">
        <f t="shared" si="2"/>
        <v>0</v>
      </c>
      <c r="V7" s="49">
        <f t="shared" si="2"/>
        <v>0</v>
      </c>
      <c r="W7" s="49"/>
    </row>
    <row r="8" spans="1:23" s="36" customFormat="1" ht="15">
      <c r="A8" s="34"/>
      <c r="B8" s="37"/>
      <c r="C8" s="37"/>
      <c r="D8" s="34"/>
      <c r="E8" s="237"/>
      <c r="F8" s="238"/>
      <c r="G8" s="59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 s="47" customFormat="1" ht="29.25" customHeight="1">
      <c r="A9" s="229" t="s">
        <v>10</v>
      </c>
      <c r="B9" s="230"/>
      <c r="C9" s="230"/>
      <c r="D9" s="230"/>
      <c r="E9" s="230"/>
      <c r="F9" s="230"/>
      <c r="G9" s="231"/>
      <c r="H9" s="77">
        <f>SUM(H10:H11)</f>
        <v>1937605984</v>
      </c>
      <c r="I9" s="77">
        <f t="shared" ref="I9:V9" si="3">SUM(I10:I11)</f>
        <v>369902130</v>
      </c>
      <c r="J9" s="77">
        <f t="shared" si="3"/>
        <v>817885131</v>
      </c>
      <c r="K9" s="77">
        <f t="shared" si="3"/>
        <v>556261546</v>
      </c>
      <c r="L9" s="77">
        <f t="shared" si="3"/>
        <v>88668663</v>
      </c>
      <c r="M9" s="77">
        <f t="shared" si="3"/>
        <v>2020519</v>
      </c>
      <c r="N9" s="77">
        <f t="shared" si="3"/>
        <v>1765431</v>
      </c>
      <c r="O9" s="77">
        <f t="shared" si="3"/>
        <v>4337862</v>
      </c>
      <c r="P9" s="77">
        <f t="shared" si="3"/>
        <v>3945105</v>
      </c>
      <c r="Q9" s="77">
        <f t="shared" si="3"/>
        <v>231732</v>
      </c>
      <c r="R9" s="77">
        <f t="shared" si="3"/>
        <v>0</v>
      </c>
      <c r="S9" s="77">
        <f t="shared" si="3"/>
        <v>0</v>
      </c>
      <c r="T9" s="77">
        <f t="shared" si="3"/>
        <v>0</v>
      </c>
      <c r="U9" s="77">
        <f t="shared" si="3"/>
        <v>0</v>
      </c>
      <c r="V9" s="77">
        <f t="shared" si="3"/>
        <v>0</v>
      </c>
      <c r="W9" s="65">
        <f>SUM(W12,W17,W22,W27,W263,W32,W40,W46,W54,W62,W68,W73,W79,W85,W91,W97,W103,W108,W113,W125,W131,W138,W144,W151,W160,W167,W172,W177,W182,W187,W192,W199,W208,W215,W118)</f>
        <v>1303323212</v>
      </c>
    </row>
    <row r="10" spans="1:23" s="47" customFormat="1" ht="15">
      <c r="A10" s="232" t="s">
        <v>3</v>
      </c>
      <c r="B10" s="233"/>
      <c r="C10" s="234"/>
      <c r="D10" s="45"/>
      <c r="E10" s="235"/>
      <c r="F10" s="236"/>
      <c r="G10" s="60"/>
      <c r="H10" s="77">
        <f>SUM(H13,H18,H23,H28,H33,H41,H47,H55,H63,H69,H74,H80,H86,H92,H98,H104,H109,H114,H132,H139,H145,H152,H161,H168,H173,H188,H200,H209,H216,H178,H126,H193,H183,H119)</f>
        <v>147031861</v>
      </c>
      <c r="I10" s="77">
        <f t="shared" ref="I10:V10" si="4">SUM(I13,I18,I23,I28,I33,I41,I47,I55,I63,I69,I74,I80,I86,I92,I98,I104,I109,I114,I132,I139,I145,I152,I161,I168,I173,I188,I200,I209,I216,I178,I126,I193,I183,I119)</f>
        <v>36763948</v>
      </c>
      <c r="J10" s="77">
        <f t="shared" si="4"/>
        <v>55231054</v>
      </c>
      <c r="K10" s="77">
        <f t="shared" si="4"/>
        <v>24292816</v>
      </c>
      <c r="L10" s="77">
        <f t="shared" si="4"/>
        <v>3607467</v>
      </c>
      <c r="M10" s="77">
        <f t="shared" si="4"/>
        <v>2020519</v>
      </c>
      <c r="N10" s="77">
        <f t="shared" si="4"/>
        <v>1765431</v>
      </c>
      <c r="O10" s="77">
        <f t="shared" si="4"/>
        <v>1511263</v>
      </c>
      <c r="P10" s="77">
        <f t="shared" si="4"/>
        <v>1118506</v>
      </c>
      <c r="Q10" s="77">
        <f t="shared" si="4"/>
        <v>231732</v>
      </c>
      <c r="R10" s="77">
        <f t="shared" si="4"/>
        <v>0</v>
      </c>
      <c r="S10" s="77">
        <f t="shared" si="4"/>
        <v>0</v>
      </c>
      <c r="T10" s="77">
        <f t="shared" si="4"/>
        <v>0</v>
      </c>
      <c r="U10" s="77">
        <f t="shared" si="4"/>
        <v>0</v>
      </c>
      <c r="V10" s="77">
        <f t="shared" si="4"/>
        <v>0</v>
      </c>
      <c r="W10" s="46"/>
    </row>
    <row r="11" spans="1:23" s="47" customFormat="1" ht="15">
      <c r="A11" s="232" t="s">
        <v>4</v>
      </c>
      <c r="B11" s="233"/>
      <c r="C11" s="234"/>
      <c r="D11" s="45"/>
      <c r="E11" s="235"/>
      <c r="F11" s="236"/>
      <c r="G11" s="60"/>
      <c r="H11" s="77">
        <f>SUM(H14,H19,H24,H29,H37,H45,H50,H57,H64,H70,H75,H81,H87,H93,H99,H105,H110,H115,H134,H141,H147,H156,H164,H171,H174,H190,H204,H212,H219,H127,H196,H186,H120)</f>
        <v>1790574123</v>
      </c>
      <c r="I11" s="77">
        <f t="shared" ref="I11:V11" si="5">SUM(I14,I19,I24,I29,I37,I45,I50,I57,I64,I70,I75,I81,I87,I93,I99,I105,I110,I115,I134,I141,I147,I156,I164,I171,I174,I190,I204,I212,I219,I127,I196,I186,I120)</f>
        <v>333138182</v>
      </c>
      <c r="J11" s="77">
        <f t="shared" si="5"/>
        <v>762654077</v>
      </c>
      <c r="K11" s="77">
        <f t="shared" si="5"/>
        <v>531968730</v>
      </c>
      <c r="L11" s="77">
        <f t="shared" si="5"/>
        <v>85061196</v>
      </c>
      <c r="M11" s="77">
        <f t="shared" si="5"/>
        <v>0</v>
      </c>
      <c r="N11" s="77">
        <f t="shared" si="5"/>
        <v>0</v>
      </c>
      <c r="O11" s="77">
        <f t="shared" si="5"/>
        <v>2826599</v>
      </c>
      <c r="P11" s="77">
        <f t="shared" si="5"/>
        <v>2826599</v>
      </c>
      <c r="Q11" s="77">
        <f t="shared" si="5"/>
        <v>0</v>
      </c>
      <c r="R11" s="77">
        <f t="shared" si="5"/>
        <v>0</v>
      </c>
      <c r="S11" s="77">
        <f t="shared" si="5"/>
        <v>0</v>
      </c>
      <c r="T11" s="77">
        <f t="shared" si="5"/>
        <v>0</v>
      </c>
      <c r="U11" s="77">
        <f t="shared" si="5"/>
        <v>0</v>
      </c>
      <c r="V11" s="77">
        <f t="shared" si="5"/>
        <v>0</v>
      </c>
      <c r="W11" s="46"/>
    </row>
    <row r="12" spans="1:23" ht="60">
      <c r="A12" s="29">
        <v>1</v>
      </c>
      <c r="B12" s="98" t="s">
        <v>45</v>
      </c>
      <c r="C12" s="69" t="s">
        <v>44</v>
      </c>
      <c r="D12" s="218" t="s">
        <v>181</v>
      </c>
      <c r="E12" s="186" t="s">
        <v>27</v>
      </c>
      <c r="F12" s="187"/>
      <c r="G12" s="190" t="s">
        <v>160</v>
      </c>
      <c r="H12" s="5">
        <f>SUM(H13:H14)</f>
        <v>31220190</v>
      </c>
      <c r="I12" s="5">
        <f t="shared" ref="I12:K12" si="6">SUM(I13:I14)</f>
        <v>7861021</v>
      </c>
      <c r="J12" s="5">
        <f t="shared" si="6"/>
        <v>12518180</v>
      </c>
      <c r="K12" s="5">
        <f t="shared" si="6"/>
        <v>3440500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01">
        <f>23722288-23722288</f>
        <v>0</v>
      </c>
    </row>
    <row r="13" spans="1:23" ht="15">
      <c r="A13" s="179" t="s">
        <v>3</v>
      </c>
      <c r="B13" s="180"/>
      <c r="C13" s="181"/>
      <c r="D13" s="219"/>
      <c r="E13" s="188"/>
      <c r="F13" s="189"/>
      <c r="G13" s="19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35"/>
    </row>
    <row r="14" spans="1:23" ht="15">
      <c r="A14" s="179" t="s">
        <v>11</v>
      </c>
      <c r="B14" s="180"/>
      <c r="C14" s="181"/>
      <c r="D14" s="219"/>
      <c r="E14" s="188"/>
      <c r="F14" s="189"/>
      <c r="G14" s="191"/>
      <c r="H14" s="70">
        <f>SUM(H15:H16)</f>
        <v>31220190</v>
      </c>
      <c r="I14" s="70">
        <f t="shared" ref="I14:K14" si="7">SUM(I15:I16)</f>
        <v>7861021</v>
      </c>
      <c r="J14" s="70">
        <f t="shared" si="7"/>
        <v>12518180</v>
      </c>
      <c r="K14" s="70">
        <f t="shared" si="7"/>
        <v>3440500</v>
      </c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80"/>
    </row>
    <row r="15" spans="1:23" ht="15">
      <c r="A15" s="32"/>
      <c r="B15" s="177" t="s">
        <v>23</v>
      </c>
      <c r="C15" s="178"/>
      <c r="D15" s="219"/>
      <c r="E15" s="188"/>
      <c r="F15" s="189"/>
      <c r="G15" s="191"/>
      <c r="H15" s="70">
        <v>9147329</v>
      </c>
      <c r="I15" s="70">
        <v>0</v>
      </c>
      <c r="J15" s="70">
        <v>8544048</v>
      </c>
      <c r="K15" s="70">
        <v>603281</v>
      </c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35"/>
    </row>
    <row r="16" spans="1:23" ht="15">
      <c r="A16" s="32"/>
      <c r="B16" s="177" t="s">
        <v>24</v>
      </c>
      <c r="C16" s="178"/>
      <c r="D16" s="220"/>
      <c r="E16" s="192"/>
      <c r="F16" s="193"/>
      <c r="G16" s="194"/>
      <c r="H16" s="70">
        <v>22072861</v>
      </c>
      <c r="I16" s="3">
        <v>7861021</v>
      </c>
      <c r="J16" s="3">
        <v>3974132</v>
      </c>
      <c r="K16" s="13">
        <v>2837219</v>
      </c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35"/>
    </row>
    <row r="17" spans="1:23" ht="75">
      <c r="A17" s="29">
        <v>2</v>
      </c>
      <c r="B17" s="71" t="s">
        <v>47</v>
      </c>
      <c r="C17" s="71" t="s">
        <v>46</v>
      </c>
      <c r="D17" s="183" t="s">
        <v>180</v>
      </c>
      <c r="E17" s="186" t="s">
        <v>43</v>
      </c>
      <c r="F17" s="187"/>
      <c r="G17" s="190" t="s">
        <v>160</v>
      </c>
      <c r="H17" s="9">
        <f>SUM(H18:H19)</f>
        <v>64776063</v>
      </c>
      <c r="I17" s="9">
        <f t="shared" ref="I17:K17" si="8">SUM(I18:I19)</f>
        <v>12675377</v>
      </c>
      <c r="J17" s="9">
        <f t="shared" si="8"/>
        <v>7565490</v>
      </c>
      <c r="K17" s="9">
        <f t="shared" si="8"/>
        <v>44772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80">
        <f>7502800+107462</f>
        <v>7610262</v>
      </c>
    </row>
    <row r="18" spans="1:23" ht="15" customHeight="1">
      <c r="A18" s="179" t="s">
        <v>3</v>
      </c>
      <c r="B18" s="180"/>
      <c r="C18" s="181"/>
      <c r="D18" s="184"/>
      <c r="E18" s="188"/>
      <c r="F18" s="189"/>
      <c r="G18" s="191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35"/>
    </row>
    <row r="19" spans="1:23" ht="15">
      <c r="A19" s="179" t="s">
        <v>11</v>
      </c>
      <c r="B19" s="180"/>
      <c r="C19" s="181"/>
      <c r="D19" s="184"/>
      <c r="E19" s="188"/>
      <c r="F19" s="189"/>
      <c r="G19" s="191"/>
      <c r="H19" s="70">
        <f>SUM(H20:H21)</f>
        <v>64776063</v>
      </c>
      <c r="I19" s="70">
        <f t="shared" ref="I19:K19" si="9">SUM(I20:I21)</f>
        <v>12675377</v>
      </c>
      <c r="J19" s="70">
        <f t="shared" si="9"/>
        <v>7565490</v>
      </c>
      <c r="K19" s="70">
        <f t="shared" si="9"/>
        <v>44772</v>
      </c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35"/>
    </row>
    <row r="20" spans="1:23" ht="15">
      <c r="A20" s="32"/>
      <c r="B20" s="177" t="s">
        <v>23</v>
      </c>
      <c r="C20" s="178"/>
      <c r="D20" s="184"/>
      <c r="E20" s="188"/>
      <c r="F20" s="189"/>
      <c r="G20" s="191"/>
      <c r="H20" s="3">
        <v>27928710</v>
      </c>
      <c r="I20" s="70">
        <v>10046000</v>
      </c>
      <c r="J20" s="70">
        <v>5391938</v>
      </c>
      <c r="K20" s="70">
        <v>44772</v>
      </c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35"/>
    </row>
    <row r="21" spans="1:23" ht="15">
      <c r="A21" s="32"/>
      <c r="B21" s="177" t="s">
        <v>24</v>
      </c>
      <c r="C21" s="178"/>
      <c r="D21" s="185"/>
      <c r="E21" s="192"/>
      <c r="F21" s="193"/>
      <c r="G21" s="194"/>
      <c r="H21" s="70">
        <v>36847353</v>
      </c>
      <c r="I21" s="70">
        <v>2629377</v>
      </c>
      <c r="J21" s="70">
        <v>2173552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35"/>
    </row>
    <row r="22" spans="1:23" ht="120">
      <c r="A22" s="71">
        <v>3</v>
      </c>
      <c r="B22" s="71" t="s">
        <v>140</v>
      </c>
      <c r="C22" s="71" t="s">
        <v>141</v>
      </c>
      <c r="D22" s="183" t="s">
        <v>180</v>
      </c>
      <c r="E22" s="186" t="s">
        <v>29</v>
      </c>
      <c r="F22" s="187"/>
      <c r="G22" s="261" t="s">
        <v>250</v>
      </c>
      <c r="H22" s="72">
        <f>SUM(H23:H24)</f>
        <v>6418207</v>
      </c>
      <c r="I22" s="72">
        <f t="shared" ref="I22:J22" si="10">SUM(I23:I24)</f>
        <v>3523242</v>
      </c>
      <c r="J22" s="72">
        <f t="shared" si="10"/>
        <v>2704565</v>
      </c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41">
        <f>10185034-9507833</f>
        <v>677201</v>
      </c>
    </row>
    <row r="23" spans="1:23" ht="15">
      <c r="A23" s="179" t="s">
        <v>3</v>
      </c>
      <c r="B23" s="180"/>
      <c r="C23" s="181"/>
      <c r="D23" s="184"/>
      <c r="E23" s="188"/>
      <c r="F23" s="189"/>
      <c r="G23" s="19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35"/>
    </row>
    <row r="24" spans="1:23" ht="15">
      <c r="A24" s="179" t="s">
        <v>11</v>
      </c>
      <c r="B24" s="180"/>
      <c r="C24" s="181"/>
      <c r="D24" s="184"/>
      <c r="E24" s="188"/>
      <c r="F24" s="189"/>
      <c r="G24" s="191"/>
      <c r="H24" s="70">
        <f>SUM(H25:H26)</f>
        <v>6418207</v>
      </c>
      <c r="I24" s="70">
        <f t="shared" ref="I24:J24" si="11">SUM(I25:I26)</f>
        <v>3523242</v>
      </c>
      <c r="J24" s="70">
        <f t="shared" si="11"/>
        <v>2704565</v>
      </c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35"/>
    </row>
    <row r="25" spans="1:23" ht="15">
      <c r="A25" s="27"/>
      <c r="B25" s="177" t="s">
        <v>23</v>
      </c>
      <c r="C25" s="178"/>
      <c r="D25" s="184"/>
      <c r="E25" s="188"/>
      <c r="F25" s="189"/>
      <c r="G25" s="191"/>
      <c r="H25" s="70">
        <v>5397612</v>
      </c>
      <c r="I25" s="70">
        <v>2811392</v>
      </c>
      <c r="J25" s="70">
        <v>2586220</v>
      </c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35"/>
    </row>
    <row r="26" spans="1:23" ht="15">
      <c r="A26" s="27"/>
      <c r="B26" s="177" t="s">
        <v>24</v>
      </c>
      <c r="C26" s="178"/>
      <c r="D26" s="185"/>
      <c r="E26" s="192"/>
      <c r="F26" s="193"/>
      <c r="G26" s="194"/>
      <c r="H26" s="70">
        <v>1020595</v>
      </c>
      <c r="I26" s="70">
        <v>711850</v>
      </c>
      <c r="J26" s="70">
        <v>118345</v>
      </c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35"/>
    </row>
    <row r="27" spans="1:23" ht="149.25" customHeight="1">
      <c r="A27" s="71">
        <v>4</v>
      </c>
      <c r="B27" s="71" t="s">
        <v>143</v>
      </c>
      <c r="C27" s="71" t="s">
        <v>142</v>
      </c>
      <c r="D27" s="183" t="s">
        <v>182</v>
      </c>
      <c r="E27" s="186" t="s">
        <v>39</v>
      </c>
      <c r="F27" s="187"/>
      <c r="G27" s="261" t="s">
        <v>250</v>
      </c>
      <c r="H27" s="72">
        <f>SUM(H28:H29)</f>
        <v>26543778</v>
      </c>
      <c r="I27" s="72">
        <f t="shared" ref="I27:J27" si="12">SUM(I28:I29)</f>
        <v>4223203</v>
      </c>
      <c r="J27" s="72">
        <f t="shared" si="12"/>
        <v>21953640</v>
      </c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41">
        <f>39541741-39088266</f>
        <v>453475</v>
      </c>
    </row>
    <row r="28" spans="1:23" ht="15" customHeight="1">
      <c r="A28" s="179" t="s">
        <v>3</v>
      </c>
      <c r="B28" s="180"/>
      <c r="C28" s="181"/>
      <c r="D28" s="184"/>
      <c r="E28" s="188"/>
      <c r="F28" s="189"/>
      <c r="G28" s="191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35"/>
    </row>
    <row r="29" spans="1:23" ht="15">
      <c r="A29" s="179" t="s">
        <v>11</v>
      </c>
      <c r="B29" s="180"/>
      <c r="C29" s="181"/>
      <c r="D29" s="184"/>
      <c r="E29" s="188"/>
      <c r="F29" s="189"/>
      <c r="G29" s="191"/>
      <c r="H29" s="70">
        <f>SUM(H30:H31)</f>
        <v>26543778</v>
      </c>
      <c r="I29" s="70">
        <f t="shared" ref="I29:J29" si="13">SUM(I30:I31)</f>
        <v>4223203</v>
      </c>
      <c r="J29" s="70">
        <f t="shared" si="13"/>
        <v>21953640</v>
      </c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35"/>
    </row>
    <row r="30" spans="1:23" ht="15">
      <c r="A30" s="76"/>
      <c r="B30" s="177" t="s">
        <v>23</v>
      </c>
      <c r="C30" s="178"/>
      <c r="D30" s="184"/>
      <c r="E30" s="188"/>
      <c r="F30" s="189"/>
      <c r="G30" s="191"/>
      <c r="H30" s="70">
        <v>22377006</v>
      </c>
      <c r="I30" s="70">
        <v>2389203</v>
      </c>
      <c r="J30" s="70">
        <v>19987803</v>
      </c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35"/>
    </row>
    <row r="31" spans="1:23" ht="15">
      <c r="A31" s="76"/>
      <c r="B31" s="177" t="s">
        <v>24</v>
      </c>
      <c r="C31" s="178"/>
      <c r="D31" s="185"/>
      <c r="E31" s="192"/>
      <c r="F31" s="193"/>
      <c r="G31" s="194"/>
      <c r="H31" s="70">
        <v>4166772</v>
      </c>
      <c r="I31" s="70">
        <v>1834000</v>
      </c>
      <c r="J31" s="70">
        <v>1965837</v>
      </c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35"/>
    </row>
    <row r="32" spans="1:23" s="68" customFormat="1" ht="135">
      <c r="A32" s="71">
        <v>5</v>
      </c>
      <c r="B32" s="71" t="s">
        <v>177</v>
      </c>
      <c r="C32" s="71" t="s">
        <v>178</v>
      </c>
      <c r="D32" s="183" t="s">
        <v>13</v>
      </c>
      <c r="E32" s="186" t="s">
        <v>29</v>
      </c>
      <c r="F32" s="187"/>
      <c r="G32" s="190" t="s">
        <v>176</v>
      </c>
      <c r="H32" s="72">
        <f>SUM(H33,H37)</f>
        <v>3770274</v>
      </c>
      <c r="I32" s="72">
        <f t="shared" ref="I32:J32" si="14">SUM(I33,I37)</f>
        <v>826126</v>
      </c>
      <c r="J32" s="72">
        <f t="shared" si="14"/>
        <v>1652005</v>
      </c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41">
        <v>1652005</v>
      </c>
    </row>
    <row r="33" spans="1:23" s="68" customFormat="1" ht="15">
      <c r="A33" s="179" t="s">
        <v>12</v>
      </c>
      <c r="B33" s="180"/>
      <c r="C33" s="181"/>
      <c r="D33" s="184"/>
      <c r="E33" s="188"/>
      <c r="F33" s="189"/>
      <c r="G33" s="191"/>
      <c r="H33" s="70">
        <f>SUM(H34:H36)</f>
        <v>3751098</v>
      </c>
      <c r="I33" s="70">
        <f t="shared" ref="I33:J33" si="15">SUM(I34:I36)</f>
        <v>820126</v>
      </c>
      <c r="J33" s="70">
        <f t="shared" si="15"/>
        <v>1652005</v>
      </c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35"/>
    </row>
    <row r="34" spans="1:23" s="68" customFormat="1" ht="15">
      <c r="A34" s="76"/>
      <c r="B34" s="177" t="s">
        <v>23</v>
      </c>
      <c r="C34" s="178"/>
      <c r="D34" s="184"/>
      <c r="E34" s="188"/>
      <c r="F34" s="189"/>
      <c r="G34" s="191"/>
      <c r="H34" s="70">
        <v>3188433</v>
      </c>
      <c r="I34" s="70">
        <v>697107</v>
      </c>
      <c r="J34" s="70">
        <v>1404204</v>
      </c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35"/>
    </row>
    <row r="35" spans="1:23" s="68" customFormat="1" ht="15">
      <c r="A35" s="76"/>
      <c r="B35" s="177" t="s">
        <v>25</v>
      </c>
      <c r="C35" s="178"/>
      <c r="D35" s="184"/>
      <c r="E35" s="188"/>
      <c r="F35" s="189"/>
      <c r="G35" s="191"/>
      <c r="H35" s="70">
        <v>45168</v>
      </c>
      <c r="I35" s="70">
        <v>17179</v>
      </c>
      <c r="J35" s="70">
        <v>15587</v>
      </c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35"/>
    </row>
    <row r="36" spans="1:23" s="68" customFormat="1" ht="15">
      <c r="A36" s="76"/>
      <c r="B36" s="177" t="s">
        <v>24</v>
      </c>
      <c r="C36" s="178"/>
      <c r="D36" s="184"/>
      <c r="E36" s="188"/>
      <c r="F36" s="189"/>
      <c r="G36" s="191"/>
      <c r="H36" s="70">
        <v>517497</v>
      </c>
      <c r="I36" s="70">
        <v>105840</v>
      </c>
      <c r="J36" s="70">
        <v>232214</v>
      </c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35"/>
    </row>
    <row r="37" spans="1:23" s="68" customFormat="1" ht="15">
      <c r="A37" s="179" t="s">
        <v>11</v>
      </c>
      <c r="B37" s="180"/>
      <c r="C37" s="181"/>
      <c r="D37" s="184"/>
      <c r="E37" s="188"/>
      <c r="F37" s="189"/>
      <c r="G37" s="191"/>
      <c r="H37" s="70">
        <f>SUM(H38:H39)</f>
        <v>19176</v>
      </c>
      <c r="I37" s="70">
        <f>SUM(I38:I39)</f>
        <v>6000</v>
      </c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35"/>
    </row>
    <row r="38" spans="1:23" s="68" customFormat="1" ht="15">
      <c r="A38" s="76"/>
      <c r="B38" s="177" t="s">
        <v>23</v>
      </c>
      <c r="C38" s="178"/>
      <c r="D38" s="184"/>
      <c r="E38" s="188"/>
      <c r="F38" s="189"/>
      <c r="G38" s="191"/>
      <c r="H38" s="70">
        <v>16300</v>
      </c>
      <c r="I38" s="70">
        <v>5100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35"/>
    </row>
    <row r="39" spans="1:23" s="68" customFormat="1" ht="15">
      <c r="A39" s="76"/>
      <c r="B39" s="177" t="s">
        <v>24</v>
      </c>
      <c r="C39" s="178"/>
      <c r="D39" s="184"/>
      <c r="E39" s="188"/>
      <c r="F39" s="189"/>
      <c r="G39" s="191"/>
      <c r="H39" s="70">
        <v>2876</v>
      </c>
      <c r="I39" s="70">
        <v>900</v>
      </c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35"/>
    </row>
    <row r="40" spans="1:23" s="22" customFormat="1" ht="135">
      <c r="A40" s="85">
        <v>6</v>
      </c>
      <c r="B40" s="85" t="s">
        <v>117</v>
      </c>
      <c r="C40" s="85" t="s">
        <v>55</v>
      </c>
      <c r="D40" s="144" t="s">
        <v>149</v>
      </c>
      <c r="E40" s="195" t="s">
        <v>42</v>
      </c>
      <c r="F40" s="196"/>
      <c r="G40" s="153" t="s">
        <v>118</v>
      </c>
      <c r="H40" s="83">
        <f>SUM(H41,H45)</f>
        <v>2372010</v>
      </c>
      <c r="I40" s="83">
        <f t="shared" ref="I40:Q40" si="16">SUM(I41,I45)</f>
        <v>301185</v>
      </c>
      <c r="J40" s="83">
        <f t="shared" si="16"/>
        <v>284732</v>
      </c>
      <c r="K40" s="83">
        <f t="shared" si="16"/>
        <v>284732</v>
      </c>
      <c r="L40" s="83">
        <f t="shared" si="16"/>
        <v>284733</v>
      </c>
      <c r="M40" s="83">
        <f t="shared" si="16"/>
        <v>231732</v>
      </c>
      <c r="N40" s="83">
        <f t="shared" si="16"/>
        <v>231732</v>
      </c>
      <c r="O40" s="83">
        <f t="shared" si="16"/>
        <v>231732</v>
      </c>
      <c r="P40" s="83">
        <f t="shared" si="16"/>
        <v>231732</v>
      </c>
      <c r="Q40" s="83">
        <f t="shared" si="16"/>
        <v>231732</v>
      </c>
      <c r="R40" s="83"/>
      <c r="S40" s="83"/>
      <c r="T40" s="83"/>
      <c r="U40" s="83"/>
      <c r="V40" s="83"/>
      <c r="W40" s="83">
        <v>854197</v>
      </c>
    </row>
    <row r="41" spans="1:23" s="22" customFormat="1" ht="15">
      <c r="A41" s="205" t="s">
        <v>12</v>
      </c>
      <c r="B41" s="206"/>
      <c r="C41" s="207"/>
      <c r="D41" s="145"/>
      <c r="E41" s="197"/>
      <c r="F41" s="198"/>
      <c r="G41" s="154"/>
      <c r="H41" s="74">
        <f>SUM(H42:H44)</f>
        <v>2372010</v>
      </c>
      <c r="I41" s="74">
        <f t="shared" ref="I41:Q41" si="17">SUM(I42:I44)</f>
        <v>301185</v>
      </c>
      <c r="J41" s="74">
        <f t="shared" si="17"/>
        <v>284732</v>
      </c>
      <c r="K41" s="74">
        <f t="shared" si="17"/>
        <v>284732</v>
      </c>
      <c r="L41" s="74">
        <f t="shared" si="17"/>
        <v>284733</v>
      </c>
      <c r="M41" s="74">
        <f t="shared" si="17"/>
        <v>231732</v>
      </c>
      <c r="N41" s="74">
        <f t="shared" si="17"/>
        <v>231732</v>
      </c>
      <c r="O41" s="74">
        <f t="shared" si="17"/>
        <v>231732</v>
      </c>
      <c r="P41" s="74">
        <f t="shared" si="17"/>
        <v>231732</v>
      </c>
      <c r="Q41" s="74">
        <f t="shared" si="17"/>
        <v>231732</v>
      </c>
      <c r="R41" s="74"/>
      <c r="S41" s="74"/>
      <c r="T41" s="74"/>
      <c r="U41" s="74"/>
      <c r="V41" s="74"/>
      <c r="W41" s="74"/>
    </row>
    <row r="42" spans="1:23" s="22" customFormat="1" ht="15">
      <c r="A42" s="112"/>
      <c r="B42" s="142" t="s">
        <v>23</v>
      </c>
      <c r="C42" s="143"/>
      <c r="D42" s="145"/>
      <c r="E42" s="197"/>
      <c r="F42" s="198"/>
      <c r="G42" s="154"/>
      <c r="H42" s="74">
        <f>1197278-286942</f>
        <v>910336</v>
      </c>
      <c r="I42" s="74">
        <f>242022+13985</f>
        <v>256007</v>
      </c>
      <c r="J42" s="74">
        <v>242022</v>
      </c>
      <c r="K42" s="74">
        <v>242022</v>
      </c>
      <c r="L42" s="74">
        <v>121012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/>
      <c r="S42" s="74"/>
      <c r="T42" s="74"/>
      <c r="U42" s="74"/>
      <c r="V42" s="74"/>
      <c r="W42" s="74"/>
    </row>
    <row r="43" spans="1:23" s="22" customFormat="1" ht="15">
      <c r="A43" s="112"/>
      <c r="B43" s="142" t="s">
        <v>25</v>
      </c>
      <c r="C43" s="143"/>
      <c r="D43" s="145"/>
      <c r="E43" s="197"/>
      <c r="F43" s="198"/>
      <c r="G43" s="154"/>
      <c r="H43" s="74">
        <v>1301026</v>
      </c>
      <c r="I43" s="74">
        <v>0</v>
      </c>
      <c r="J43" s="74">
        <v>0</v>
      </c>
      <c r="K43" s="74">
        <v>0</v>
      </c>
      <c r="L43" s="74">
        <v>142366</v>
      </c>
      <c r="M43" s="74">
        <v>231732</v>
      </c>
      <c r="N43" s="74">
        <v>231732</v>
      </c>
      <c r="O43" s="74">
        <v>231732</v>
      </c>
      <c r="P43" s="74">
        <v>231732</v>
      </c>
      <c r="Q43" s="74">
        <v>231732</v>
      </c>
      <c r="R43" s="74"/>
      <c r="S43" s="74"/>
      <c r="T43" s="74"/>
      <c r="U43" s="74"/>
      <c r="V43" s="74"/>
      <c r="W43" s="74"/>
    </row>
    <row r="44" spans="1:23" s="22" customFormat="1" ht="15">
      <c r="A44" s="112"/>
      <c r="B44" s="142" t="s">
        <v>24</v>
      </c>
      <c r="C44" s="143"/>
      <c r="D44" s="145"/>
      <c r="E44" s="197"/>
      <c r="F44" s="198"/>
      <c r="G44" s="154"/>
      <c r="H44" s="74">
        <f>211285-50637</f>
        <v>160648</v>
      </c>
      <c r="I44" s="74">
        <f>42710+2468</f>
        <v>45178</v>
      </c>
      <c r="J44" s="74">
        <v>42710</v>
      </c>
      <c r="K44" s="74">
        <v>42710</v>
      </c>
      <c r="L44" s="74">
        <v>21355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/>
      <c r="S44" s="74"/>
      <c r="T44" s="74"/>
      <c r="U44" s="74"/>
      <c r="V44" s="74"/>
      <c r="W44" s="74"/>
    </row>
    <row r="45" spans="1:23" s="22" customFormat="1" ht="15">
      <c r="A45" s="205" t="s">
        <v>4</v>
      </c>
      <c r="B45" s="206"/>
      <c r="C45" s="207"/>
      <c r="D45" s="146"/>
      <c r="E45" s="199"/>
      <c r="F45" s="200"/>
      <c r="G45" s="155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</row>
    <row r="46" spans="1:23" ht="120">
      <c r="A46" s="10">
        <v>7</v>
      </c>
      <c r="B46" s="71" t="s">
        <v>170</v>
      </c>
      <c r="C46" s="71" t="s">
        <v>192</v>
      </c>
      <c r="D46" s="183" t="s">
        <v>149</v>
      </c>
      <c r="E46" s="186" t="s">
        <v>36</v>
      </c>
      <c r="F46" s="187"/>
      <c r="G46" s="190" t="s">
        <v>119</v>
      </c>
      <c r="H46" s="11">
        <f>SUM(H47,H50)</f>
        <v>69261070</v>
      </c>
      <c r="I46" s="72">
        <f t="shared" ref="I46:K46" si="18">SUM(I47,I50)</f>
        <v>45000</v>
      </c>
      <c r="J46" s="72">
        <f t="shared" si="18"/>
        <v>35200500</v>
      </c>
      <c r="K46" s="72">
        <f t="shared" si="18"/>
        <v>34004500</v>
      </c>
      <c r="L46" s="72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41">
        <f>50688560-24653560+43170000</f>
        <v>69205000</v>
      </c>
    </row>
    <row r="47" spans="1:23" ht="15">
      <c r="A47" s="179" t="s">
        <v>12</v>
      </c>
      <c r="B47" s="180"/>
      <c r="C47" s="181"/>
      <c r="D47" s="184"/>
      <c r="E47" s="188"/>
      <c r="F47" s="189"/>
      <c r="G47" s="191"/>
      <c r="H47" s="8">
        <f>SUM(H48:H49)</f>
        <v>46070</v>
      </c>
      <c r="I47" s="70">
        <f>SUM(I48:I49)</f>
        <v>30000</v>
      </c>
      <c r="J47" s="70">
        <f>SUM(J48:J49)</f>
        <v>500</v>
      </c>
      <c r="K47" s="70">
        <f>SUM(K48:K49)</f>
        <v>4500</v>
      </c>
      <c r="L47" s="70"/>
      <c r="M47" s="8"/>
      <c r="N47" s="8"/>
      <c r="O47" s="8"/>
      <c r="P47" s="8"/>
      <c r="Q47" s="8"/>
      <c r="R47" s="8"/>
      <c r="S47" s="8"/>
      <c r="T47" s="8"/>
      <c r="U47" s="8"/>
      <c r="V47" s="8"/>
      <c r="W47" s="35"/>
    </row>
    <row r="48" spans="1:23" s="68" customFormat="1" ht="15">
      <c r="A48" s="76"/>
      <c r="B48" s="177" t="s">
        <v>23</v>
      </c>
      <c r="C48" s="178"/>
      <c r="D48" s="184"/>
      <c r="E48" s="188"/>
      <c r="F48" s="189"/>
      <c r="G48" s="191"/>
      <c r="H48" s="70">
        <v>29750</v>
      </c>
      <c r="I48" s="70">
        <v>25500</v>
      </c>
      <c r="J48" s="70">
        <v>425</v>
      </c>
      <c r="K48" s="70">
        <v>3825</v>
      </c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35"/>
    </row>
    <row r="49" spans="1:23" s="68" customFormat="1" ht="15">
      <c r="A49" s="76"/>
      <c r="B49" s="177" t="s">
        <v>25</v>
      </c>
      <c r="C49" s="178"/>
      <c r="D49" s="184"/>
      <c r="E49" s="188"/>
      <c r="F49" s="189"/>
      <c r="G49" s="191"/>
      <c r="H49" s="70">
        <v>16320</v>
      </c>
      <c r="I49" s="70">
        <v>4500</v>
      </c>
      <c r="J49" s="70">
        <v>75</v>
      </c>
      <c r="K49" s="70">
        <v>675</v>
      </c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35"/>
    </row>
    <row r="50" spans="1:23" ht="15">
      <c r="A50" s="179" t="s">
        <v>11</v>
      </c>
      <c r="B50" s="180"/>
      <c r="C50" s="181"/>
      <c r="D50" s="184"/>
      <c r="E50" s="188"/>
      <c r="F50" s="189"/>
      <c r="G50" s="191"/>
      <c r="H50" s="8">
        <f>SUM(H51:H53)</f>
        <v>69215000</v>
      </c>
      <c r="I50" s="70">
        <f>SUM(I51:I53)</f>
        <v>15000</v>
      </c>
      <c r="J50" s="70">
        <f>SUM(J51:J53)</f>
        <v>35200000</v>
      </c>
      <c r="K50" s="70">
        <f>SUM(K51:K53)</f>
        <v>34000000</v>
      </c>
      <c r="L50" s="70"/>
      <c r="M50" s="8"/>
      <c r="N50" s="8"/>
      <c r="O50" s="8"/>
      <c r="P50" s="8"/>
      <c r="Q50" s="8"/>
      <c r="R50" s="8"/>
      <c r="S50" s="8"/>
      <c r="T50" s="8"/>
      <c r="U50" s="8"/>
      <c r="V50" s="8"/>
      <c r="W50" s="35"/>
    </row>
    <row r="51" spans="1:23" ht="15">
      <c r="A51" s="28"/>
      <c r="B51" s="177" t="s">
        <v>23</v>
      </c>
      <c r="C51" s="178"/>
      <c r="D51" s="184"/>
      <c r="E51" s="188"/>
      <c r="F51" s="189"/>
      <c r="G51" s="191"/>
      <c r="H51" s="8">
        <v>58832750</v>
      </c>
      <c r="I51" s="70">
        <v>12750</v>
      </c>
      <c r="J51" s="70">
        <v>29920000</v>
      </c>
      <c r="K51" s="70">
        <v>28900000</v>
      </c>
      <c r="L51" s="70"/>
      <c r="M51" s="8"/>
      <c r="N51" s="8"/>
      <c r="O51" s="8"/>
      <c r="P51" s="8"/>
      <c r="Q51" s="8"/>
      <c r="R51" s="8"/>
      <c r="S51" s="8"/>
      <c r="T51" s="8"/>
      <c r="U51" s="8"/>
      <c r="V51" s="8"/>
      <c r="W51" s="35"/>
    </row>
    <row r="52" spans="1:23" ht="15">
      <c r="A52" s="28"/>
      <c r="B52" s="177" t="s">
        <v>25</v>
      </c>
      <c r="C52" s="178"/>
      <c r="D52" s="184"/>
      <c r="E52" s="188"/>
      <c r="F52" s="189"/>
      <c r="G52" s="191"/>
      <c r="H52" s="8">
        <v>3462250</v>
      </c>
      <c r="I52" s="70">
        <v>2250</v>
      </c>
      <c r="J52" s="70">
        <v>1760000</v>
      </c>
      <c r="K52" s="70">
        <v>1700000</v>
      </c>
      <c r="L52" s="70"/>
      <c r="M52" s="8"/>
      <c r="N52" s="8"/>
      <c r="O52" s="8"/>
      <c r="P52" s="8"/>
      <c r="Q52" s="8"/>
      <c r="R52" s="8"/>
      <c r="S52" s="8"/>
      <c r="T52" s="8"/>
      <c r="U52" s="8"/>
      <c r="V52" s="8"/>
      <c r="W52" s="35"/>
    </row>
    <row r="53" spans="1:23" ht="15">
      <c r="A53" s="28"/>
      <c r="B53" s="177" t="s">
        <v>157</v>
      </c>
      <c r="C53" s="178"/>
      <c r="D53" s="185"/>
      <c r="E53" s="192"/>
      <c r="F53" s="193"/>
      <c r="G53" s="194"/>
      <c r="H53" s="8">
        <v>6920000</v>
      </c>
      <c r="I53" s="70">
        <v>0</v>
      </c>
      <c r="J53" s="70">
        <v>3520000</v>
      </c>
      <c r="K53" s="70">
        <v>3400000</v>
      </c>
      <c r="L53" s="70"/>
      <c r="M53" s="8"/>
      <c r="N53" s="8"/>
      <c r="O53" s="8"/>
      <c r="P53" s="8"/>
      <c r="Q53" s="8"/>
      <c r="R53" s="8"/>
      <c r="S53" s="8"/>
      <c r="T53" s="8"/>
      <c r="U53" s="8"/>
      <c r="V53" s="8"/>
      <c r="W53" s="35"/>
    </row>
    <row r="54" spans="1:23" s="68" customFormat="1" ht="135">
      <c r="A54" s="71">
        <v>8</v>
      </c>
      <c r="B54" s="71" t="s">
        <v>167</v>
      </c>
      <c r="C54" s="71" t="s">
        <v>192</v>
      </c>
      <c r="D54" s="183" t="s">
        <v>149</v>
      </c>
      <c r="E54" s="186" t="s">
        <v>36</v>
      </c>
      <c r="F54" s="187"/>
      <c r="G54" s="190" t="s">
        <v>119</v>
      </c>
      <c r="H54" s="72">
        <f>SUM(H55,H57)</f>
        <v>18380000</v>
      </c>
      <c r="I54" s="72">
        <f t="shared" ref="I54:K54" si="19">SUM(I55,I57)</f>
        <v>205000</v>
      </c>
      <c r="J54" s="72">
        <f t="shared" si="19"/>
        <v>18080000</v>
      </c>
      <c r="K54" s="72">
        <f t="shared" si="19"/>
        <v>95000</v>
      </c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83">
        <f>200000+17975000</f>
        <v>18175000</v>
      </c>
    </row>
    <row r="55" spans="1:23" s="68" customFormat="1" ht="15">
      <c r="A55" s="179" t="s">
        <v>12</v>
      </c>
      <c r="B55" s="180"/>
      <c r="C55" s="181"/>
      <c r="D55" s="184"/>
      <c r="E55" s="188"/>
      <c r="F55" s="189"/>
      <c r="G55" s="191"/>
      <c r="H55" s="70">
        <f>H56</f>
        <v>300000</v>
      </c>
      <c r="I55" s="70">
        <f t="shared" ref="I55:K55" si="20">I56</f>
        <v>205000</v>
      </c>
      <c r="J55" s="70">
        <f t="shared" si="20"/>
        <v>0</v>
      </c>
      <c r="K55" s="70">
        <f t="shared" si="20"/>
        <v>95000</v>
      </c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35"/>
    </row>
    <row r="56" spans="1:23" s="68" customFormat="1" ht="15">
      <c r="A56" s="76"/>
      <c r="B56" s="177" t="s">
        <v>25</v>
      </c>
      <c r="C56" s="178"/>
      <c r="D56" s="184"/>
      <c r="E56" s="188"/>
      <c r="F56" s="189"/>
      <c r="G56" s="191"/>
      <c r="H56" s="70">
        <v>300000</v>
      </c>
      <c r="I56" s="70">
        <v>205000</v>
      </c>
      <c r="J56" s="70"/>
      <c r="K56" s="70">
        <v>95000</v>
      </c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35"/>
    </row>
    <row r="57" spans="1:23" s="68" customFormat="1" ht="15">
      <c r="A57" s="179" t="s">
        <v>11</v>
      </c>
      <c r="B57" s="180"/>
      <c r="C57" s="181"/>
      <c r="D57" s="184"/>
      <c r="E57" s="188"/>
      <c r="F57" s="189"/>
      <c r="G57" s="191"/>
      <c r="H57" s="70">
        <f>SUM(H58:H61)</f>
        <v>18080000</v>
      </c>
      <c r="I57" s="70">
        <f t="shared" ref="I57:K57" si="21">SUM(I58:I61)</f>
        <v>0</v>
      </c>
      <c r="J57" s="70">
        <f t="shared" si="21"/>
        <v>18080000</v>
      </c>
      <c r="K57" s="70">
        <f t="shared" si="21"/>
        <v>0</v>
      </c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35"/>
    </row>
    <row r="58" spans="1:23" s="68" customFormat="1" ht="15">
      <c r="A58" s="76"/>
      <c r="B58" s="177" t="s">
        <v>23</v>
      </c>
      <c r="C58" s="178"/>
      <c r="D58" s="184"/>
      <c r="E58" s="188"/>
      <c r="F58" s="189"/>
      <c r="G58" s="191"/>
      <c r="H58" s="70">
        <v>7380000</v>
      </c>
      <c r="I58" s="70"/>
      <c r="J58" s="70">
        <v>7380000</v>
      </c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35"/>
    </row>
    <row r="59" spans="1:23" s="68" customFormat="1" ht="15">
      <c r="A59" s="76"/>
      <c r="B59" s="177" t="s">
        <v>25</v>
      </c>
      <c r="C59" s="178"/>
      <c r="D59" s="184"/>
      <c r="E59" s="188"/>
      <c r="F59" s="189"/>
      <c r="G59" s="191"/>
      <c r="H59" s="70">
        <v>4200000</v>
      </c>
      <c r="I59" s="70"/>
      <c r="J59" s="70">
        <v>4200000</v>
      </c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35"/>
    </row>
    <row r="60" spans="1:23" s="68" customFormat="1" ht="15">
      <c r="A60" s="76"/>
      <c r="B60" s="177" t="s">
        <v>24</v>
      </c>
      <c r="C60" s="178"/>
      <c r="D60" s="184"/>
      <c r="E60" s="188"/>
      <c r="F60" s="189"/>
      <c r="G60" s="191"/>
      <c r="H60" s="70">
        <v>5800000</v>
      </c>
      <c r="I60" s="70"/>
      <c r="J60" s="70">
        <v>5800000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35"/>
    </row>
    <row r="61" spans="1:23" s="68" customFormat="1" ht="15">
      <c r="A61" s="76"/>
      <c r="B61" s="177" t="s">
        <v>157</v>
      </c>
      <c r="C61" s="178"/>
      <c r="D61" s="185"/>
      <c r="E61" s="192"/>
      <c r="F61" s="193"/>
      <c r="G61" s="194"/>
      <c r="H61" s="70">
        <v>700000</v>
      </c>
      <c r="I61" s="70"/>
      <c r="J61" s="70">
        <v>700000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35"/>
    </row>
    <row r="62" spans="1:23" s="22" customFormat="1" ht="75.75" customHeight="1">
      <c r="A62" s="85">
        <v>9</v>
      </c>
      <c r="B62" s="113" t="s">
        <v>62</v>
      </c>
      <c r="C62" s="85" t="s">
        <v>61</v>
      </c>
      <c r="D62" s="144" t="s">
        <v>183</v>
      </c>
      <c r="E62" s="147" t="s">
        <v>36</v>
      </c>
      <c r="F62" s="196"/>
      <c r="G62" s="153" t="s">
        <v>120</v>
      </c>
      <c r="H62" s="83">
        <f>SUM(H63:H64)</f>
        <v>47815045</v>
      </c>
      <c r="I62" s="83">
        <f>SUM(I63:I64)</f>
        <v>6178963</v>
      </c>
      <c r="J62" s="83">
        <f>SUM(J63:J64)</f>
        <v>21272910</v>
      </c>
      <c r="K62" s="83">
        <f>SUM(K63:K64)</f>
        <v>13805169</v>
      </c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>
        <f>17653400-16377+13805169</f>
        <v>31442192</v>
      </c>
    </row>
    <row r="63" spans="1:23" s="22" customFormat="1" ht="15">
      <c r="A63" s="205" t="s">
        <v>3</v>
      </c>
      <c r="B63" s="206"/>
      <c r="C63" s="207"/>
      <c r="D63" s="145"/>
      <c r="E63" s="197"/>
      <c r="F63" s="198"/>
      <c r="G63" s="15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22" customFormat="1" ht="15">
      <c r="A64" s="205" t="s">
        <v>11</v>
      </c>
      <c r="B64" s="206"/>
      <c r="C64" s="207"/>
      <c r="D64" s="145"/>
      <c r="E64" s="197"/>
      <c r="F64" s="198"/>
      <c r="G64" s="154"/>
      <c r="H64" s="74">
        <f>SUM(H65:H67)</f>
        <v>47815045</v>
      </c>
      <c r="I64" s="74">
        <f>SUM(I65:I67)</f>
        <v>6178963</v>
      </c>
      <c r="J64" s="74">
        <f t="shared" ref="J64:K64" si="22">SUM(J65:J67)</f>
        <v>21272910</v>
      </c>
      <c r="K64" s="74">
        <f t="shared" si="22"/>
        <v>13805169</v>
      </c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</row>
    <row r="65" spans="1:23" s="22" customFormat="1" ht="15">
      <c r="A65" s="112"/>
      <c r="B65" s="142" t="s">
        <v>23</v>
      </c>
      <c r="C65" s="143"/>
      <c r="D65" s="145"/>
      <c r="E65" s="197"/>
      <c r="F65" s="198"/>
      <c r="G65" s="154"/>
      <c r="H65" s="74">
        <v>40642786</v>
      </c>
      <c r="I65" s="74">
        <v>5252118</v>
      </c>
      <c r="J65" s="74">
        <v>18081973</v>
      </c>
      <c r="K65" s="74">
        <v>11734393</v>
      </c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</row>
    <row r="66" spans="1:23" s="22" customFormat="1" ht="15">
      <c r="A66" s="112"/>
      <c r="B66" s="142" t="s">
        <v>25</v>
      </c>
      <c r="C66" s="143"/>
      <c r="D66" s="145"/>
      <c r="E66" s="197"/>
      <c r="F66" s="198"/>
      <c r="G66" s="154"/>
      <c r="H66" s="74">
        <v>4170088</v>
      </c>
      <c r="I66" s="74">
        <v>926845</v>
      </c>
      <c r="J66" s="74">
        <v>1352526</v>
      </c>
      <c r="K66" s="74">
        <v>907016</v>
      </c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</row>
    <row r="67" spans="1:23" s="22" customFormat="1" ht="15">
      <c r="A67" s="112"/>
      <c r="B67" s="142" t="s">
        <v>24</v>
      </c>
      <c r="C67" s="143"/>
      <c r="D67" s="146"/>
      <c r="E67" s="199"/>
      <c r="F67" s="200"/>
      <c r="G67" s="155"/>
      <c r="H67" s="74">
        <v>3002171</v>
      </c>
      <c r="I67" s="74">
        <v>0</v>
      </c>
      <c r="J67" s="74">
        <v>1838411</v>
      </c>
      <c r="K67" s="74">
        <v>1163760</v>
      </c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</row>
    <row r="68" spans="1:23" s="22" customFormat="1" ht="77.25" customHeight="1">
      <c r="A68" s="85">
        <v>10</v>
      </c>
      <c r="B68" s="113" t="s">
        <v>64</v>
      </c>
      <c r="C68" s="85" t="s">
        <v>63</v>
      </c>
      <c r="D68" s="144" t="s">
        <v>183</v>
      </c>
      <c r="E68" s="195" t="s">
        <v>34</v>
      </c>
      <c r="F68" s="196"/>
      <c r="G68" s="153" t="s">
        <v>120</v>
      </c>
      <c r="H68" s="83">
        <f>SUM(H69:H70)</f>
        <v>23658891</v>
      </c>
      <c r="I68" s="83">
        <f t="shared" ref="I68:J68" si="23">SUM(I69:I70)</f>
        <v>10161302</v>
      </c>
      <c r="J68" s="83">
        <f t="shared" si="23"/>
        <v>8070289</v>
      </c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>
        <f>29200000-11401109-17734409</f>
        <v>64482</v>
      </c>
    </row>
    <row r="69" spans="1:23" s="22" customFormat="1" ht="15">
      <c r="A69" s="205" t="s">
        <v>3</v>
      </c>
      <c r="B69" s="206"/>
      <c r="C69" s="207"/>
      <c r="D69" s="145"/>
      <c r="E69" s="197"/>
      <c r="F69" s="198"/>
      <c r="G69" s="15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</row>
    <row r="70" spans="1:23" s="22" customFormat="1" ht="15">
      <c r="A70" s="205" t="s">
        <v>11</v>
      </c>
      <c r="B70" s="206"/>
      <c r="C70" s="207"/>
      <c r="D70" s="145"/>
      <c r="E70" s="197"/>
      <c r="F70" s="198"/>
      <c r="G70" s="154"/>
      <c r="H70" s="74">
        <f>SUM(H71:H72)</f>
        <v>23658891</v>
      </c>
      <c r="I70" s="74">
        <f t="shared" ref="I70:J70" si="24">SUM(I71:I72)</f>
        <v>10161302</v>
      </c>
      <c r="J70" s="74">
        <f t="shared" si="24"/>
        <v>8070289</v>
      </c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</row>
    <row r="71" spans="1:23" s="22" customFormat="1" ht="15">
      <c r="A71" s="112"/>
      <c r="B71" s="142" t="s">
        <v>23</v>
      </c>
      <c r="C71" s="143"/>
      <c r="D71" s="145"/>
      <c r="E71" s="197"/>
      <c r="F71" s="198"/>
      <c r="G71" s="154"/>
      <c r="H71" s="74">
        <v>20069058</v>
      </c>
      <c r="I71" s="74">
        <f>8269312+316800</f>
        <v>8586112</v>
      </c>
      <c r="J71" s="74">
        <v>7039746</v>
      </c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</row>
    <row r="72" spans="1:23" s="22" customFormat="1" ht="15">
      <c r="A72" s="112"/>
      <c r="B72" s="142" t="s">
        <v>25</v>
      </c>
      <c r="C72" s="143"/>
      <c r="D72" s="146"/>
      <c r="E72" s="199"/>
      <c r="F72" s="200"/>
      <c r="G72" s="155"/>
      <c r="H72" s="74">
        <f>3529833+60000</f>
        <v>3589833</v>
      </c>
      <c r="I72" s="114">
        <f>1459290+115900</f>
        <v>1575190</v>
      </c>
      <c r="J72" s="74">
        <v>1030543</v>
      </c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</row>
    <row r="73" spans="1:23" ht="79.5" customHeight="1">
      <c r="A73" s="10">
        <v>11</v>
      </c>
      <c r="B73" s="10" t="s">
        <v>65</v>
      </c>
      <c r="C73" s="10" t="s">
        <v>57</v>
      </c>
      <c r="D73" s="183" t="s">
        <v>183</v>
      </c>
      <c r="E73" s="186" t="s">
        <v>34</v>
      </c>
      <c r="F73" s="187"/>
      <c r="G73" s="190" t="s">
        <v>120</v>
      </c>
      <c r="H73" s="11">
        <f>SUM(H74:H75)</f>
        <v>12000000</v>
      </c>
      <c r="I73" s="72">
        <f t="shared" ref="I73:J73" si="25">SUM(I74:I75)</f>
        <v>5000000</v>
      </c>
      <c r="J73" s="72">
        <f t="shared" si="25"/>
        <v>7000000</v>
      </c>
      <c r="K73" s="72"/>
      <c r="L73" s="72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41">
        <f>1000000+10500000-10881250</f>
        <v>618750</v>
      </c>
    </row>
    <row r="74" spans="1:23" ht="15">
      <c r="A74" s="179" t="s">
        <v>3</v>
      </c>
      <c r="B74" s="180"/>
      <c r="C74" s="181"/>
      <c r="D74" s="184"/>
      <c r="E74" s="188"/>
      <c r="F74" s="189"/>
      <c r="G74" s="191"/>
      <c r="H74" s="8"/>
      <c r="I74" s="70"/>
      <c r="J74" s="70"/>
      <c r="K74" s="70"/>
      <c r="L74" s="70"/>
      <c r="M74" s="8"/>
      <c r="N74" s="8"/>
      <c r="O74" s="8"/>
      <c r="P74" s="8"/>
      <c r="Q74" s="8"/>
      <c r="R74" s="8"/>
      <c r="S74" s="8"/>
      <c r="T74" s="8"/>
      <c r="U74" s="8"/>
      <c r="V74" s="8"/>
      <c r="W74" s="35"/>
    </row>
    <row r="75" spans="1:23" ht="15">
      <c r="A75" s="179" t="s">
        <v>11</v>
      </c>
      <c r="B75" s="180"/>
      <c r="C75" s="181"/>
      <c r="D75" s="184"/>
      <c r="E75" s="188"/>
      <c r="F75" s="189"/>
      <c r="G75" s="191"/>
      <c r="H75" s="8">
        <f>SUM(H76:H78)</f>
        <v>12000000</v>
      </c>
      <c r="I75" s="70">
        <f t="shared" ref="I75:J75" si="26">SUM(I76:I78)</f>
        <v>5000000</v>
      </c>
      <c r="J75" s="70">
        <f t="shared" si="26"/>
        <v>7000000</v>
      </c>
      <c r="K75" s="70"/>
      <c r="L75" s="70"/>
      <c r="M75" s="8"/>
      <c r="N75" s="8"/>
      <c r="O75" s="8"/>
      <c r="P75" s="8"/>
      <c r="Q75" s="8"/>
      <c r="R75" s="8"/>
      <c r="S75" s="8"/>
      <c r="T75" s="8"/>
      <c r="U75" s="8"/>
      <c r="V75" s="8"/>
      <c r="W75" s="35"/>
    </row>
    <row r="76" spans="1:23" ht="15">
      <c r="A76" s="28"/>
      <c r="B76" s="177" t="s">
        <v>23</v>
      </c>
      <c r="C76" s="178"/>
      <c r="D76" s="184"/>
      <c r="E76" s="188"/>
      <c r="F76" s="189"/>
      <c r="G76" s="191"/>
      <c r="H76" s="8">
        <v>6000000</v>
      </c>
      <c r="I76" s="70">
        <v>2500000</v>
      </c>
      <c r="J76" s="70">
        <v>3500000</v>
      </c>
      <c r="K76" s="70"/>
      <c r="L76" s="70"/>
      <c r="M76" s="8"/>
      <c r="N76" s="8"/>
      <c r="O76" s="8"/>
      <c r="P76" s="8"/>
      <c r="Q76" s="8"/>
      <c r="R76" s="8"/>
      <c r="S76" s="8"/>
      <c r="T76" s="8"/>
      <c r="U76" s="8"/>
      <c r="V76" s="8"/>
      <c r="W76" s="35"/>
    </row>
    <row r="77" spans="1:23" ht="15">
      <c r="A77" s="28"/>
      <c r="B77" s="177" t="s">
        <v>25</v>
      </c>
      <c r="C77" s="178"/>
      <c r="D77" s="184"/>
      <c r="E77" s="188"/>
      <c r="F77" s="189"/>
      <c r="G77" s="191"/>
      <c r="H77" s="8">
        <v>600000</v>
      </c>
      <c r="I77" s="70">
        <v>250000</v>
      </c>
      <c r="J77" s="70">
        <v>350000</v>
      </c>
      <c r="K77" s="70"/>
      <c r="L77" s="70"/>
      <c r="M77" s="8"/>
      <c r="N77" s="8"/>
      <c r="O77" s="8"/>
      <c r="P77" s="8"/>
      <c r="Q77" s="8"/>
      <c r="R77" s="8"/>
      <c r="S77" s="8"/>
      <c r="T77" s="8"/>
      <c r="U77" s="8"/>
      <c r="V77" s="8"/>
      <c r="W77" s="35"/>
    </row>
    <row r="78" spans="1:23" s="68" customFormat="1" ht="15">
      <c r="A78" s="76"/>
      <c r="B78" s="177" t="s">
        <v>24</v>
      </c>
      <c r="C78" s="178"/>
      <c r="D78" s="185"/>
      <c r="E78" s="192"/>
      <c r="F78" s="193"/>
      <c r="G78" s="194"/>
      <c r="H78" s="70">
        <v>5400000</v>
      </c>
      <c r="I78" s="70">
        <v>2250000</v>
      </c>
      <c r="J78" s="70">
        <v>3150000</v>
      </c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35"/>
    </row>
    <row r="79" spans="1:23" s="22" customFormat="1" ht="78" customHeight="1">
      <c r="A79" s="85">
        <v>12</v>
      </c>
      <c r="B79" s="98" t="s">
        <v>66</v>
      </c>
      <c r="C79" s="119" t="s">
        <v>57</v>
      </c>
      <c r="D79" s="144" t="s">
        <v>183</v>
      </c>
      <c r="E79" s="195" t="s">
        <v>34</v>
      </c>
      <c r="F79" s="196"/>
      <c r="G79" s="153" t="s">
        <v>120</v>
      </c>
      <c r="H79" s="83">
        <f>SUM(H80:H81)</f>
        <v>43918531</v>
      </c>
      <c r="I79" s="83">
        <f t="shared" ref="I79:J79" si="27">SUM(I80:I81)</f>
        <v>25710931</v>
      </c>
      <c r="J79" s="83">
        <f t="shared" si="27"/>
        <v>17370507</v>
      </c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>
        <f>27809600-10439093</f>
        <v>17370507</v>
      </c>
    </row>
    <row r="80" spans="1:23" s="22" customFormat="1" ht="15">
      <c r="A80" s="205" t="s">
        <v>3</v>
      </c>
      <c r="B80" s="206"/>
      <c r="C80" s="207"/>
      <c r="D80" s="145"/>
      <c r="E80" s="197"/>
      <c r="F80" s="198"/>
      <c r="G80" s="15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</row>
    <row r="81" spans="1:23" s="22" customFormat="1" ht="15">
      <c r="A81" s="205" t="s">
        <v>11</v>
      </c>
      <c r="B81" s="206"/>
      <c r="C81" s="207"/>
      <c r="D81" s="145"/>
      <c r="E81" s="197"/>
      <c r="F81" s="198"/>
      <c r="G81" s="154"/>
      <c r="H81" s="74">
        <f>SUM(H82:H84)</f>
        <v>43918531</v>
      </c>
      <c r="I81" s="74">
        <f t="shared" ref="I81:J81" si="28">SUM(I82:I84)</f>
        <v>25710931</v>
      </c>
      <c r="J81" s="74">
        <f t="shared" si="28"/>
        <v>17370507</v>
      </c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</row>
    <row r="82" spans="1:23" s="22" customFormat="1" ht="15">
      <c r="A82" s="112"/>
      <c r="B82" s="142" t="s">
        <v>23</v>
      </c>
      <c r="C82" s="143"/>
      <c r="D82" s="145"/>
      <c r="E82" s="197"/>
      <c r="F82" s="198"/>
      <c r="G82" s="154"/>
      <c r="H82" s="74">
        <v>35289164</v>
      </c>
      <c r="I82" s="74">
        <v>19812704</v>
      </c>
      <c r="J82" s="74">
        <v>14764931</v>
      </c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</row>
    <row r="83" spans="1:23" s="22" customFormat="1" ht="15">
      <c r="A83" s="112"/>
      <c r="B83" s="142" t="s">
        <v>25</v>
      </c>
      <c r="C83" s="143"/>
      <c r="D83" s="145"/>
      <c r="E83" s="197"/>
      <c r="F83" s="198"/>
      <c r="G83" s="154"/>
      <c r="H83" s="74">
        <v>3829490</v>
      </c>
      <c r="I83" s="74">
        <v>1098350</v>
      </c>
      <c r="J83" s="74">
        <v>2605576</v>
      </c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</row>
    <row r="84" spans="1:23" s="22" customFormat="1" ht="15">
      <c r="A84" s="112"/>
      <c r="B84" s="142" t="s">
        <v>24</v>
      </c>
      <c r="C84" s="143"/>
      <c r="D84" s="146"/>
      <c r="E84" s="199"/>
      <c r="F84" s="200"/>
      <c r="G84" s="155"/>
      <c r="H84" s="74">
        <v>4799877</v>
      </c>
      <c r="I84" s="74">
        <v>4799877</v>
      </c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</row>
    <row r="85" spans="1:23" s="22" customFormat="1" ht="78" customHeight="1">
      <c r="A85" s="85">
        <v>13</v>
      </c>
      <c r="B85" s="113" t="s">
        <v>67</v>
      </c>
      <c r="C85" s="115" t="s">
        <v>57</v>
      </c>
      <c r="D85" s="144" t="s">
        <v>183</v>
      </c>
      <c r="E85" s="147" t="s">
        <v>36</v>
      </c>
      <c r="F85" s="196"/>
      <c r="G85" s="153" t="s">
        <v>120</v>
      </c>
      <c r="H85" s="83">
        <f>SUM(H86:H87)</f>
        <v>23060000</v>
      </c>
      <c r="I85" s="83">
        <f t="shared" ref="I85:K85" si="29">SUM(I86:I87)</f>
        <v>0</v>
      </c>
      <c r="J85" s="83">
        <f t="shared" si="29"/>
        <v>15600000</v>
      </c>
      <c r="K85" s="83">
        <f t="shared" si="29"/>
        <v>7460000</v>
      </c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>
        <f>15260000+340000+7460000</f>
        <v>23060000</v>
      </c>
    </row>
    <row r="86" spans="1:23" s="22" customFormat="1" ht="15">
      <c r="A86" s="205" t="s">
        <v>3</v>
      </c>
      <c r="B86" s="206"/>
      <c r="C86" s="207"/>
      <c r="D86" s="145"/>
      <c r="E86" s="197"/>
      <c r="F86" s="198"/>
      <c r="G86" s="15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</row>
    <row r="87" spans="1:23" s="22" customFormat="1" ht="15">
      <c r="A87" s="205" t="s">
        <v>11</v>
      </c>
      <c r="B87" s="206"/>
      <c r="C87" s="207"/>
      <c r="D87" s="145"/>
      <c r="E87" s="197"/>
      <c r="F87" s="198"/>
      <c r="G87" s="154"/>
      <c r="H87" s="74">
        <f>SUM(H88:H90)</f>
        <v>23060000</v>
      </c>
      <c r="I87" s="74">
        <f>SUM(I88:I90)</f>
        <v>0</v>
      </c>
      <c r="J87" s="74">
        <f t="shared" ref="J87:K87" si="30">SUM(J88:J90)</f>
        <v>15600000</v>
      </c>
      <c r="K87" s="74">
        <f t="shared" si="30"/>
        <v>7460000</v>
      </c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</row>
    <row r="88" spans="1:23" s="22" customFormat="1" ht="15">
      <c r="A88" s="112"/>
      <c r="B88" s="142" t="s">
        <v>23</v>
      </c>
      <c r="C88" s="143"/>
      <c r="D88" s="145"/>
      <c r="E88" s="197"/>
      <c r="F88" s="198"/>
      <c r="G88" s="154"/>
      <c r="H88" s="74">
        <v>11530000</v>
      </c>
      <c r="I88" s="74"/>
      <c r="J88" s="74">
        <v>7800000</v>
      </c>
      <c r="K88" s="74">
        <v>3730000</v>
      </c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</row>
    <row r="89" spans="1:23" s="22" customFormat="1" ht="15">
      <c r="A89" s="112"/>
      <c r="B89" s="142" t="s">
        <v>25</v>
      </c>
      <c r="C89" s="143"/>
      <c r="D89" s="145"/>
      <c r="E89" s="197"/>
      <c r="F89" s="198"/>
      <c r="G89" s="154"/>
      <c r="H89" s="74">
        <v>1153000</v>
      </c>
      <c r="I89" s="74"/>
      <c r="J89" s="74">
        <v>780000</v>
      </c>
      <c r="K89" s="74">
        <v>373000</v>
      </c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</row>
    <row r="90" spans="1:23" s="22" customFormat="1" ht="15">
      <c r="A90" s="112"/>
      <c r="B90" s="142" t="s">
        <v>24</v>
      </c>
      <c r="C90" s="143"/>
      <c r="D90" s="146"/>
      <c r="E90" s="199"/>
      <c r="F90" s="200"/>
      <c r="G90" s="155"/>
      <c r="H90" s="74">
        <v>10377000</v>
      </c>
      <c r="I90" s="74"/>
      <c r="J90" s="74">
        <v>7020000</v>
      </c>
      <c r="K90" s="74">
        <v>3357000</v>
      </c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</row>
    <row r="91" spans="1:23" s="22" customFormat="1" ht="90">
      <c r="A91" s="85">
        <v>14</v>
      </c>
      <c r="B91" s="113" t="s">
        <v>68</v>
      </c>
      <c r="C91" s="115" t="s">
        <v>57</v>
      </c>
      <c r="D91" s="144" t="s">
        <v>183</v>
      </c>
      <c r="E91" s="195" t="s">
        <v>34</v>
      </c>
      <c r="F91" s="196"/>
      <c r="G91" s="153" t="s">
        <v>120</v>
      </c>
      <c r="H91" s="83">
        <f>SUM(H92:H93)</f>
        <v>121605748</v>
      </c>
      <c r="I91" s="83">
        <f t="shared" ref="I91:J91" si="31">SUM(I92:I93)</f>
        <v>27000000</v>
      </c>
      <c r="J91" s="83">
        <f t="shared" si="31"/>
        <v>94605748</v>
      </c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>
        <f>55000000+500000+39105748</f>
        <v>94605748</v>
      </c>
    </row>
    <row r="92" spans="1:23" s="22" customFormat="1" ht="15">
      <c r="A92" s="205" t="s">
        <v>3</v>
      </c>
      <c r="B92" s="206"/>
      <c r="C92" s="207"/>
      <c r="D92" s="145"/>
      <c r="E92" s="197"/>
      <c r="F92" s="198"/>
      <c r="G92" s="15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</row>
    <row r="93" spans="1:23" s="22" customFormat="1" ht="15">
      <c r="A93" s="205" t="s">
        <v>11</v>
      </c>
      <c r="B93" s="206"/>
      <c r="C93" s="207"/>
      <c r="D93" s="145"/>
      <c r="E93" s="197"/>
      <c r="F93" s="198"/>
      <c r="G93" s="154"/>
      <c r="H93" s="74">
        <f>SUM(H94:H96)</f>
        <v>121605748</v>
      </c>
      <c r="I93" s="74">
        <f t="shared" ref="I93:J93" si="32">SUM(I94:I96)</f>
        <v>27000000</v>
      </c>
      <c r="J93" s="74">
        <f t="shared" si="32"/>
        <v>94605748</v>
      </c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</row>
    <row r="94" spans="1:23" s="22" customFormat="1" ht="15">
      <c r="A94" s="112"/>
      <c r="B94" s="142" t="s">
        <v>23</v>
      </c>
      <c r="C94" s="143"/>
      <c r="D94" s="145"/>
      <c r="E94" s="197"/>
      <c r="F94" s="198"/>
      <c r="G94" s="154"/>
      <c r="H94" s="74">
        <v>60802874</v>
      </c>
      <c r="I94" s="74">
        <v>13500000</v>
      </c>
      <c r="J94" s="74">
        <v>47302874</v>
      </c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</row>
    <row r="95" spans="1:23" s="22" customFormat="1" ht="15">
      <c r="A95" s="112"/>
      <c r="B95" s="142" t="s">
        <v>25</v>
      </c>
      <c r="C95" s="143"/>
      <c r="D95" s="145"/>
      <c r="E95" s="197"/>
      <c r="F95" s="198"/>
      <c r="G95" s="154"/>
      <c r="H95" s="74">
        <v>6080288</v>
      </c>
      <c r="I95" s="74">
        <v>1350000</v>
      </c>
      <c r="J95" s="74">
        <v>4730288</v>
      </c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</row>
    <row r="96" spans="1:23" s="22" customFormat="1" ht="15">
      <c r="A96" s="112"/>
      <c r="B96" s="142" t="s">
        <v>24</v>
      </c>
      <c r="C96" s="143"/>
      <c r="D96" s="146"/>
      <c r="E96" s="199"/>
      <c r="F96" s="200"/>
      <c r="G96" s="155"/>
      <c r="H96" s="74">
        <v>54722586</v>
      </c>
      <c r="I96" s="74">
        <v>12150000</v>
      </c>
      <c r="J96" s="74">
        <v>42572586</v>
      </c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</row>
    <row r="97" spans="1:23" s="68" customFormat="1" ht="138.75" customHeight="1">
      <c r="A97" s="71">
        <v>15</v>
      </c>
      <c r="B97" s="71" t="s">
        <v>191</v>
      </c>
      <c r="C97" s="14" t="s">
        <v>57</v>
      </c>
      <c r="D97" s="183" t="s">
        <v>183</v>
      </c>
      <c r="E97" s="186" t="s">
        <v>175</v>
      </c>
      <c r="F97" s="187"/>
      <c r="G97" s="190" t="s">
        <v>120</v>
      </c>
      <c r="H97" s="72">
        <f>SUM(H98:H99)</f>
        <v>109000000</v>
      </c>
      <c r="I97" s="72">
        <f t="shared" ref="I97:L97" si="33">SUM(I98:I99)</f>
        <v>300000</v>
      </c>
      <c r="J97" s="72">
        <f t="shared" si="33"/>
        <v>2400000</v>
      </c>
      <c r="K97" s="72">
        <f t="shared" si="33"/>
        <v>76300000</v>
      </c>
      <c r="L97" s="72">
        <f t="shared" si="33"/>
        <v>30000000</v>
      </c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41">
        <v>108700000</v>
      </c>
    </row>
    <row r="98" spans="1:23" s="68" customFormat="1" ht="15">
      <c r="A98" s="176" t="s">
        <v>3</v>
      </c>
      <c r="B98" s="165"/>
      <c r="C98" s="166"/>
      <c r="D98" s="184"/>
      <c r="E98" s="188"/>
      <c r="F98" s="189"/>
      <c r="G98" s="191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35"/>
    </row>
    <row r="99" spans="1:23" s="68" customFormat="1" ht="15">
      <c r="A99" s="176" t="s">
        <v>11</v>
      </c>
      <c r="B99" s="165"/>
      <c r="C99" s="166"/>
      <c r="D99" s="184"/>
      <c r="E99" s="188"/>
      <c r="F99" s="189"/>
      <c r="G99" s="191"/>
      <c r="H99" s="70">
        <f>SUM(H100:H102)</f>
        <v>109000000</v>
      </c>
      <c r="I99" s="70">
        <f t="shared" ref="I99:L99" si="34">SUM(I100:I102)</f>
        <v>300000</v>
      </c>
      <c r="J99" s="70">
        <f t="shared" si="34"/>
        <v>2400000</v>
      </c>
      <c r="K99" s="70">
        <f t="shared" si="34"/>
        <v>76300000</v>
      </c>
      <c r="L99" s="70">
        <f t="shared" si="34"/>
        <v>30000000</v>
      </c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35"/>
    </row>
    <row r="100" spans="1:23" s="68" customFormat="1" ht="15">
      <c r="A100" s="76"/>
      <c r="B100" s="162" t="s">
        <v>23</v>
      </c>
      <c r="C100" s="163"/>
      <c r="D100" s="184"/>
      <c r="E100" s="188"/>
      <c r="F100" s="189"/>
      <c r="G100" s="191"/>
      <c r="H100" s="70">
        <v>80000000</v>
      </c>
      <c r="I100" s="70"/>
      <c r="J100" s="70">
        <v>1815603</v>
      </c>
      <c r="K100" s="70">
        <v>57721040</v>
      </c>
      <c r="L100" s="70">
        <v>20463357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38"/>
    </row>
    <row r="101" spans="1:23" s="68" customFormat="1" ht="15">
      <c r="A101" s="76"/>
      <c r="B101" s="162" t="s">
        <v>25</v>
      </c>
      <c r="C101" s="163"/>
      <c r="D101" s="184"/>
      <c r="E101" s="188"/>
      <c r="F101" s="189"/>
      <c r="G101" s="191"/>
      <c r="H101" s="70">
        <v>9000000</v>
      </c>
      <c r="I101" s="70">
        <v>300000</v>
      </c>
      <c r="J101" s="70">
        <v>130496</v>
      </c>
      <c r="K101" s="70">
        <v>4148700</v>
      </c>
      <c r="L101" s="70">
        <v>4420804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38"/>
    </row>
    <row r="102" spans="1:23" s="68" customFormat="1" ht="15">
      <c r="A102" s="32"/>
      <c r="B102" s="177" t="s">
        <v>24</v>
      </c>
      <c r="C102" s="178"/>
      <c r="D102" s="185"/>
      <c r="E102" s="192"/>
      <c r="F102" s="193"/>
      <c r="G102" s="194"/>
      <c r="H102" s="70">
        <v>20000000</v>
      </c>
      <c r="I102" s="70"/>
      <c r="J102" s="70">
        <v>453901</v>
      </c>
      <c r="K102" s="70">
        <v>14430260</v>
      </c>
      <c r="L102" s="70">
        <v>5115839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38"/>
    </row>
    <row r="103" spans="1:23" s="22" customFormat="1" ht="75">
      <c r="A103" s="85">
        <v>16</v>
      </c>
      <c r="B103" s="85" t="s">
        <v>70</v>
      </c>
      <c r="C103" s="115" t="s">
        <v>69</v>
      </c>
      <c r="D103" s="144" t="s">
        <v>183</v>
      </c>
      <c r="E103" s="147" t="s">
        <v>262</v>
      </c>
      <c r="F103" s="196"/>
      <c r="G103" s="153" t="s">
        <v>120</v>
      </c>
      <c r="H103" s="83">
        <f>SUM(H104:H105)</f>
        <v>236861824</v>
      </c>
      <c r="I103" s="83">
        <f t="shared" ref="I103:K103" si="35">SUM(I104:I105)</f>
        <v>57340567</v>
      </c>
      <c r="J103" s="83">
        <f t="shared" si="35"/>
        <v>100000000</v>
      </c>
      <c r="K103" s="83">
        <f t="shared" si="35"/>
        <v>74695449</v>
      </c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>
        <f>104418228+44440130</f>
        <v>148858358</v>
      </c>
    </row>
    <row r="104" spans="1:23" s="22" customFormat="1" ht="15">
      <c r="A104" s="137" t="s">
        <v>3</v>
      </c>
      <c r="B104" s="138"/>
      <c r="C104" s="139"/>
      <c r="D104" s="145"/>
      <c r="E104" s="197"/>
      <c r="F104" s="198"/>
      <c r="G104" s="15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</row>
    <row r="105" spans="1:23" s="22" customFormat="1" ht="15">
      <c r="A105" s="137" t="s">
        <v>11</v>
      </c>
      <c r="B105" s="138"/>
      <c r="C105" s="139"/>
      <c r="D105" s="145"/>
      <c r="E105" s="197"/>
      <c r="F105" s="198"/>
      <c r="G105" s="154"/>
      <c r="H105" s="74">
        <f>SUM(H106:H107)</f>
        <v>236861824</v>
      </c>
      <c r="I105" s="74">
        <f t="shared" ref="I105:K105" si="36">SUM(I106:I107)</f>
        <v>57340567</v>
      </c>
      <c r="J105" s="74">
        <f t="shared" si="36"/>
        <v>100000000</v>
      </c>
      <c r="K105" s="74">
        <f t="shared" si="36"/>
        <v>74695449</v>
      </c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</row>
    <row r="106" spans="1:23" s="22" customFormat="1" ht="15">
      <c r="A106" s="112"/>
      <c r="B106" s="140" t="s">
        <v>23</v>
      </c>
      <c r="C106" s="141"/>
      <c r="D106" s="145"/>
      <c r="E106" s="197"/>
      <c r="F106" s="198"/>
      <c r="G106" s="154"/>
      <c r="H106" s="74">
        <v>182585754</v>
      </c>
      <c r="I106" s="74">
        <v>44203843</v>
      </c>
      <c r="J106" s="74">
        <v>77090000</v>
      </c>
      <c r="K106" s="114">
        <v>57582721</v>
      </c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</row>
    <row r="107" spans="1:23" s="22" customFormat="1" ht="15">
      <c r="A107" s="112"/>
      <c r="B107" s="140" t="s">
        <v>25</v>
      </c>
      <c r="C107" s="141"/>
      <c r="D107" s="146"/>
      <c r="E107" s="199"/>
      <c r="F107" s="200"/>
      <c r="G107" s="155"/>
      <c r="H107" s="74">
        <v>54276070</v>
      </c>
      <c r="I107" s="74">
        <v>13136724</v>
      </c>
      <c r="J107" s="74">
        <v>22910000</v>
      </c>
      <c r="K107" s="114">
        <v>17112728</v>
      </c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</row>
    <row r="108" spans="1:23" s="68" customFormat="1" ht="60">
      <c r="A108" s="29">
        <v>17</v>
      </c>
      <c r="B108" s="71" t="s">
        <v>164</v>
      </c>
      <c r="C108" s="71" t="s">
        <v>163</v>
      </c>
      <c r="D108" s="183" t="s">
        <v>183</v>
      </c>
      <c r="E108" s="186" t="s">
        <v>34</v>
      </c>
      <c r="F108" s="187"/>
      <c r="G108" s="190" t="s">
        <v>120</v>
      </c>
      <c r="H108" s="9">
        <f>SUM(H109:H110)</f>
        <v>2980556</v>
      </c>
      <c r="I108" s="9">
        <f t="shared" ref="I108:J108" si="37">SUM(I109:I110)</f>
        <v>100000</v>
      </c>
      <c r="J108" s="9">
        <f t="shared" si="37"/>
        <v>2880556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80">
        <f>2980556-1949333</f>
        <v>1031223</v>
      </c>
    </row>
    <row r="109" spans="1:23" s="68" customFormat="1" ht="15" customHeight="1">
      <c r="A109" s="179" t="s">
        <v>3</v>
      </c>
      <c r="B109" s="180"/>
      <c r="C109" s="181"/>
      <c r="D109" s="184"/>
      <c r="E109" s="188"/>
      <c r="F109" s="189"/>
      <c r="G109" s="191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35"/>
    </row>
    <row r="110" spans="1:23" s="68" customFormat="1" ht="15">
      <c r="A110" s="179" t="s">
        <v>11</v>
      </c>
      <c r="B110" s="180"/>
      <c r="C110" s="181"/>
      <c r="D110" s="184"/>
      <c r="E110" s="188"/>
      <c r="F110" s="189"/>
      <c r="G110" s="191"/>
      <c r="H110" s="70">
        <f>SUM(H111:H112)</f>
        <v>2980556</v>
      </c>
      <c r="I110" s="70">
        <f t="shared" ref="I110:J110" si="38">SUM(I111:I112)</f>
        <v>100000</v>
      </c>
      <c r="J110" s="70">
        <f t="shared" si="38"/>
        <v>2880556</v>
      </c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35"/>
    </row>
    <row r="111" spans="1:23" s="68" customFormat="1" ht="15">
      <c r="A111" s="32"/>
      <c r="B111" s="177" t="s">
        <v>23</v>
      </c>
      <c r="C111" s="178"/>
      <c r="D111" s="184"/>
      <c r="E111" s="188"/>
      <c r="F111" s="189"/>
      <c r="G111" s="191"/>
      <c r="H111" s="3">
        <v>2533472</v>
      </c>
      <c r="I111" s="70">
        <v>85000</v>
      </c>
      <c r="J111" s="70">
        <v>2448472</v>
      </c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35"/>
    </row>
    <row r="112" spans="1:23" s="68" customFormat="1" ht="15">
      <c r="A112" s="32"/>
      <c r="B112" s="177" t="s">
        <v>24</v>
      </c>
      <c r="C112" s="178"/>
      <c r="D112" s="185"/>
      <c r="E112" s="192"/>
      <c r="F112" s="193"/>
      <c r="G112" s="194"/>
      <c r="H112" s="70">
        <v>447084</v>
      </c>
      <c r="I112" s="70">
        <v>15000</v>
      </c>
      <c r="J112" s="70">
        <v>432084</v>
      </c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35"/>
    </row>
    <row r="113" spans="1:23" s="22" customFormat="1" ht="153.75" customHeight="1">
      <c r="A113" s="85">
        <v>18</v>
      </c>
      <c r="B113" s="85" t="s">
        <v>171</v>
      </c>
      <c r="C113" s="115" t="s">
        <v>69</v>
      </c>
      <c r="D113" s="144" t="s">
        <v>183</v>
      </c>
      <c r="E113" s="195" t="s">
        <v>172</v>
      </c>
      <c r="F113" s="196"/>
      <c r="G113" s="153" t="s">
        <v>120</v>
      </c>
      <c r="H113" s="83">
        <f>SUM(H114:H115)</f>
        <v>300000000</v>
      </c>
      <c r="I113" s="83">
        <f t="shared" ref="I113:K113" si="39">SUM(I114:I115)</f>
        <v>20011941</v>
      </c>
      <c r="J113" s="83">
        <f t="shared" si="39"/>
        <v>133151201</v>
      </c>
      <c r="K113" s="83">
        <f t="shared" si="39"/>
        <v>146836858</v>
      </c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>
        <f>54453006+2197549+223337504</f>
        <v>279988059</v>
      </c>
    </row>
    <row r="114" spans="1:23" s="22" customFormat="1" ht="15">
      <c r="A114" s="137" t="s">
        <v>3</v>
      </c>
      <c r="B114" s="138"/>
      <c r="C114" s="139"/>
      <c r="D114" s="145"/>
      <c r="E114" s="197"/>
      <c r="F114" s="198"/>
      <c r="G114" s="15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</row>
    <row r="115" spans="1:23" s="22" customFormat="1" ht="15">
      <c r="A115" s="137" t="s">
        <v>11</v>
      </c>
      <c r="B115" s="138"/>
      <c r="C115" s="139"/>
      <c r="D115" s="145"/>
      <c r="E115" s="197"/>
      <c r="F115" s="198"/>
      <c r="G115" s="154"/>
      <c r="H115" s="74">
        <f>SUM(H116:H117)</f>
        <v>300000000</v>
      </c>
      <c r="I115" s="74">
        <f>SUM(I116:I117)</f>
        <v>20011941</v>
      </c>
      <c r="J115" s="74">
        <f>SUM(J116:J117)</f>
        <v>133151201</v>
      </c>
      <c r="K115" s="74">
        <f>SUM(K116:K117)</f>
        <v>146836858</v>
      </c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</row>
    <row r="116" spans="1:23" s="22" customFormat="1" ht="15">
      <c r="A116" s="112"/>
      <c r="B116" s="140" t="s">
        <v>23</v>
      </c>
      <c r="C116" s="141"/>
      <c r="D116" s="145"/>
      <c r="E116" s="197"/>
      <c r="F116" s="198"/>
      <c r="G116" s="154"/>
      <c r="H116" s="74">
        <v>227303191</v>
      </c>
      <c r="I116" s="74">
        <v>15162593</v>
      </c>
      <c r="J116" s="74">
        <v>100885643</v>
      </c>
      <c r="K116" s="74">
        <v>111254955</v>
      </c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</row>
    <row r="117" spans="1:23" s="22" customFormat="1" ht="15">
      <c r="A117" s="112"/>
      <c r="B117" s="140" t="s">
        <v>25</v>
      </c>
      <c r="C117" s="141"/>
      <c r="D117" s="146"/>
      <c r="E117" s="199"/>
      <c r="F117" s="200"/>
      <c r="G117" s="155"/>
      <c r="H117" s="74">
        <v>72696809</v>
      </c>
      <c r="I117" s="74">
        <v>4849348</v>
      </c>
      <c r="J117" s="74">
        <v>32265558</v>
      </c>
      <c r="K117" s="74">
        <v>35581903</v>
      </c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</row>
    <row r="118" spans="1:23" s="22" customFormat="1" ht="75">
      <c r="A118" s="85">
        <v>19</v>
      </c>
      <c r="B118" s="113" t="s">
        <v>294</v>
      </c>
      <c r="C118" s="115" t="s">
        <v>57</v>
      </c>
      <c r="D118" s="144" t="s">
        <v>183</v>
      </c>
      <c r="E118" s="147" t="s">
        <v>34</v>
      </c>
      <c r="F118" s="148"/>
      <c r="G118" s="153" t="s">
        <v>120</v>
      </c>
      <c r="H118" s="83">
        <f>SUM(H119:H120)</f>
        <v>22517576</v>
      </c>
      <c r="I118" s="83">
        <f t="shared" ref="I118:J118" si="40">SUM(I119:I120)</f>
        <v>17093070</v>
      </c>
      <c r="J118" s="83">
        <f t="shared" si="40"/>
        <v>4524506</v>
      </c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>
        <v>4524506</v>
      </c>
    </row>
    <row r="119" spans="1:23" s="22" customFormat="1" ht="15">
      <c r="A119" s="137" t="s">
        <v>3</v>
      </c>
      <c r="B119" s="138"/>
      <c r="C119" s="139"/>
      <c r="D119" s="145"/>
      <c r="E119" s="149"/>
      <c r="F119" s="150"/>
      <c r="G119" s="15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</row>
    <row r="120" spans="1:23" s="22" customFormat="1" ht="15">
      <c r="A120" s="137" t="s">
        <v>11</v>
      </c>
      <c r="B120" s="138"/>
      <c r="C120" s="139"/>
      <c r="D120" s="145"/>
      <c r="E120" s="149"/>
      <c r="F120" s="150"/>
      <c r="G120" s="154"/>
      <c r="H120" s="74">
        <f>SUM(H121:H124)</f>
        <v>22517576</v>
      </c>
      <c r="I120" s="74">
        <f t="shared" ref="I120:J120" si="41">SUM(I121:I124)</f>
        <v>17093070</v>
      </c>
      <c r="J120" s="74">
        <f t="shared" si="41"/>
        <v>4524506</v>
      </c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</row>
    <row r="121" spans="1:23" s="22" customFormat="1" ht="15">
      <c r="A121" s="112"/>
      <c r="B121" s="140" t="s">
        <v>23</v>
      </c>
      <c r="C121" s="141"/>
      <c r="D121" s="145"/>
      <c r="E121" s="149"/>
      <c r="F121" s="150"/>
      <c r="G121" s="154"/>
      <c r="H121" s="74">
        <v>10553238</v>
      </c>
      <c r="I121" s="74">
        <v>8290985</v>
      </c>
      <c r="J121" s="74">
        <v>2262253</v>
      </c>
      <c r="K121" s="74"/>
      <c r="L121" s="74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</row>
    <row r="122" spans="1:23" s="22" customFormat="1" ht="15">
      <c r="A122" s="112"/>
      <c r="B122" s="140" t="s">
        <v>25</v>
      </c>
      <c r="C122" s="141"/>
      <c r="D122" s="145"/>
      <c r="E122" s="149"/>
      <c r="F122" s="150"/>
      <c r="G122" s="154"/>
      <c r="H122" s="74">
        <v>2300363</v>
      </c>
      <c r="I122" s="74">
        <v>1174138</v>
      </c>
      <c r="J122" s="74">
        <v>226225</v>
      </c>
      <c r="K122" s="74"/>
      <c r="L122" s="74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</row>
    <row r="123" spans="1:23" s="22" customFormat="1" ht="15">
      <c r="A123" s="136"/>
      <c r="B123" s="142" t="s">
        <v>24</v>
      </c>
      <c r="C123" s="143"/>
      <c r="D123" s="145"/>
      <c r="E123" s="149"/>
      <c r="F123" s="150"/>
      <c r="G123" s="154"/>
      <c r="H123" s="74">
        <v>9497914</v>
      </c>
      <c r="I123" s="74">
        <v>7461886</v>
      </c>
      <c r="J123" s="74">
        <v>2036028</v>
      </c>
      <c r="K123" s="74"/>
      <c r="L123" s="74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</row>
    <row r="124" spans="1:23" s="22" customFormat="1" ht="15">
      <c r="A124" s="136"/>
      <c r="B124" s="142" t="s">
        <v>157</v>
      </c>
      <c r="C124" s="143"/>
      <c r="D124" s="146"/>
      <c r="E124" s="151"/>
      <c r="F124" s="152"/>
      <c r="G124" s="155"/>
      <c r="H124" s="74">
        <v>166061</v>
      </c>
      <c r="I124" s="74">
        <v>166061</v>
      </c>
      <c r="J124" s="74"/>
      <c r="K124" s="74"/>
      <c r="L124" s="74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</row>
    <row r="125" spans="1:23" s="22" customFormat="1" ht="153.75" customHeight="1">
      <c r="A125" s="85">
        <v>20</v>
      </c>
      <c r="B125" s="113" t="s">
        <v>263</v>
      </c>
      <c r="C125" s="117" t="s">
        <v>264</v>
      </c>
      <c r="D125" s="144" t="s">
        <v>183</v>
      </c>
      <c r="E125" s="147" t="s">
        <v>175</v>
      </c>
      <c r="F125" s="148"/>
      <c r="G125" s="266" t="s">
        <v>287</v>
      </c>
      <c r="H125" s="83">
        <f>SUM(H126:H127)</f>
        <v>65919923</v>
      </c>
      <c r="I125" s="83">
        <f t="shared" ref="I125:L125" si="42">SUM(I126:I127)</f>
        <v>5526964</v>
      </c>
      <c r="J125" s="83">
        <f t="shared" si="42"/>
        <v>25569306</v>
      </c>
      <c r="K125" s="83">
        <f t="shared" si="42"/>
        <v>23215768</v>
      </c>
      <c r="L125" s="83">
        <f t="shared" si="42"/>
        <v>11607885</v>
      </c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>
        <v>60392959</v>
      </c>
    </row>
    <row r="126" spans="1:23" s="22" customFormat="1" ht="15">
      <c r="A126" s="137" t="s">
        <v>3</v>
      </c>
      <c r="B126" s="138"/>
      <c r="C126" s="139"/>
      <c r="D126" s="145"/>
      <c r="E126" s="149"/>
      <c r="F126" s="150"/>
      <c r="G126" s="267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</row>
    <row r="127" spans="1:23" s="22" customFormat="1" ht="15">
      <c r="A127" s="137" t="s">
        <v>11</v>
      </c>
      <c r="B127" s="138"/>
      <c r="C127" s="139"/>
      <c r="D127" s="145"/>
      <c r="E127" s="149"/>
      <c r="F127" s="150"/>
      <c r="G127" s="267"/>
      <c r="H127" s="74">
        <f>SUM(H128:H130)</f>
        <v>65919923</v>
      </c>
      <c r="I127" s="74">
        <f t="shared" ref="I127:L127" si="43">SUM(I128:I130)</f>
        <v>5526964</v>
      </c>
      <c r="J127" s="74">
        <f t="shared" si="43"/>
        <v>25569306</v>
      </c>
      <c r="K127" s="74">
        <f t="shared" si="43"/>
        <v>23215768</v>
      </c>
      <c r="L127" s="74">
        <f t="shared" si="43"/>
        <v>11607885</v>
      </c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</row>
    <row r="128" spans="1:23" s="22" customFormat="1" ht="15">
      <c r="A128" s="112"/>
      <c r="B128" s="140" t="s">
        <v>23</v>
      </c>
      <c r="C128" s="141"/>
      <c r="D128" s="145"/>
      <c r="E128" s="149"/>
      <c r="F128" s="150"/>
      <c r="G128" s="267"/>
      <c r="H128" s="74">
        <v>55757003</v>
      </c>
      <c r="I128" s="74">
        <v>4697920</v>
      </c>
      <c r="J128" s="74">
        <v>21623938</v>
      </c>
      <c r="K128" s="74">
        <v>19623430</v>
      </c>
      <c r="L128" s="114">
        <v>9811715</v>
      </c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</row>
    <row r="129" spans="1:23" s="22" customFormat="1" ht="15">
      <c r="A129" s="112"/>
      <c r="B129" s="140" t="s">
        <v>25</v>
      </c>
      <c r="C129" s="141"/>
      <c r="D129" s="145"/>
      <c r="E129" s="149"/>
      <c r="F129" s="150"/>
      <c r="G129" s="267"/>
      <c r="H129" s="74">
        <v>3603272</v>
      </c>
      <c r="I129" s="74">
        <v>276348</v>
      </c>
      <c r="J129" s="74">
        <v>1401375</v>
      </c>
      <c r="K129" s="74">
        <v>1283699</v>
      </c>
      <c r="L129" s="114">
        <v>641850</v>
      </c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</row>
    <row r="130" spans="1:23" s="22" customFormat="1" ht="15">
      <c r="A130" s="112"/>
      <c r="B130" s="109" t="s">
        <v>24</v>
      </c>
      <c r="C130" s="110"/>
      <c r="D130" s="146"/>
      <c r="E130" s="151"/>
      <c r="F130" s="152"/>
      <c r="G130" s="268"/>
      <c r="H130" s="74">
        <v>6559648</v>
      </c>
      <c r="I130" s="74">
        <v>552696</v>
      </c>
      <c r="J130" s="74">
        <v>2543993</v>
      </c>
      <c r="K130" s="74">
        <v>2308639</v>
      </c>
      <c r="L130" s="114">
        <v>1154320</v>
      </c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</row>
    <row r="131" spans="1:23" ht="75">
      <c r="A131" s="10">
        <v>21</v>
      </c>
      <c r="B131" s="71" t="s">
        <v>72</v>
      </c>
      <c r="C131" s="10" t="s">
        <v>71</v>
      </c>
      <c r="D131" s="183" t="s">
        <v>149</v>
      </c>
      <c r="E131" s="186" t="s">
        <v>41</v>
      </c>
      <c r="F131" s="187"/>
      <c r="G131" s="190" t="s">
        <v>121</v>
      </c>
      <c r="H131" s="11">
        <f>SUM(H132,H134)</f>
        <v>311129907</v>
      </c>
      <c r="I131" s="72">
        <f t="shared" ref="I131:P131" si="44">SUM(I132,I134)</f>
        <v>16494639</v>
      </c>
      <c r="J131" s="72">
        <f t="shared" si="44"/>
        <v>160189948</v>
      </c>
      <c r="K131" s="72">
        <f t="shared" si="44"/>
        <v>121410519</v>
      </c>
      <c r="L131" s="72">
        <f t="shared" si="44"/>
        <v>2312632</v>
      </c>
      <c r="M131" s="72">
        <f t="shared" si="44"/>
        <v>1623847</v>
      </c>
      <c r="N131" s="72">
        <f t="shared" si="44"/>
        <v>1368759</v>
      </c>
      <c r="O131" s="72">
        <f t="shared" si="44"/>
        <v>3941190</v>
      </c>
      <c r="P131" s="72">
        <f t="shared" si="44"/>
        <v>3713373</v>
      </c>
      <c r="Q131" s="11"/>
      <c r="R131" s="11"/>
      <c r="S131" s="11"/>
      <c r="T131" s="11"/>
      <c r="U131" s="11"/>
      <c r="V131" s="11"/>
      <c r="W131" s="41">
        <f>794846+283118253</f>
        <v>283913099</v>
      </c>
    </row>
    <row r="132" spans="1:23" ht="15">
      <c r="A132" s="176" t="s">
        <v>12</v>
      </c>
      <c r="B132" s="165"/>
      <c r="C132" s="166"/>
      <c r="D132" s="184"/>
      <c r="E132" s="188"/>
      <c r="F132" s="189"/>
      <c r="G132" s="191"/>
      <c r="H132" s="8">
        <f>H133</f>
        <v>10749533</v>
      </c>
      <c r="I132" s="70">
        <f t="shared" ref="I132:P132" si="45">I133</f>
        <v>0</v>
      </c>
      <c r="J132" s="70">
        <f t="shared" si="45"/>
        <v>0</v>
      </c>
      <c r="K132" s="70">
        <f t="shared" si="45"/>
        <v>3442930</v>
      </c>
      <c r="L132" s="70">
        <f t="shared" si="45"/>
        <v>2312632</v>
      </c>
      <c r="M132" s="70">
        <f t="shared" si="45"/>
        <v>1623847</v>
      </c>
      <c r="N132" s="70">
        <f t="shared" si="45"/>
        <v>1368759</v>
      </c>
      <c r="O132" s="70">
        <f t="shared" si="45"/>
        <v>1114591</v>
      </c>
      <c r="P132" s="70">
        <f t="shared" si="45"/>
        <v>886774</v>
      </c>
      <c r="Q132" s="8"/>
      <c r="R132" s="8"/>
      <c r="S132" s="8"/>
      <c r="T132" s="8"/>
      <c r="U132" s="8"/>
      <c r="V132" s="8"/>
      <c r="W132" s="35"/>
    </row>
    <row r="133" spans="1:23" ht="15">
      <c r="A133" s="28"/>
      <c r="B133" s="177" t="s">
        <v>25</v>
      </c>
      <c r="C133" s="178"/>
      <c r="D133" s="184"/>
      <c r="E133" s="188"/>
      <c r="F133" s="189"/>
      <c r="G133" s="191"/>
      <c r="H133" s="8">
        <v>10749533</v>
      </c>
      <c r="I133" s="70"/>
      <c r="J133" s="70"/>
      <c r="K133" s="70">
        <v>3442930</v>
      </c>
      <c r="L133" s="70">
        <v>2312632</v>
      </c>
      <c r="M133" s="8">
        <v>1623847</v>
      </c>
      <c r="N133" s="8">
        <v>1368759</v>
      </c>
      <c r="O133" s="8">
        <v>1114591</v>
      </c>
      <c r="P133" s="8">
        <v>886774</v>
      </c>
      <c r="Q133" s="8"/>
      <c r="R133" s="8"/>
      <c r="S133" s="8"/>
      <c r="T133" s="8"/>
      <c r="U133" s="8"/>
      <c r="V133" s="8"/>
      <c r="W133" s="35"/>
    </row>
    <row r="134" spans="1:23" ht="15">
      <c r="A134" s="179" t="s">
        <v>11</v>
      </c>
      <c r="B134" s="180"/>
      <c r="C134" s="181"/>
      <c r="D134" s="184"/>
      <c r="E134" s="188"/>
      <c r="F134" s="189"/>
      <c r="G134" s="191"/>
      <c r="H134" s="8">
        <f>SUM(H135:H137)</f>
        <v>300380374</v>
      </c>
      <c r="I134" s="70">
        <f t="shared" ref="I134:P134" si="46">SUM(I135:I137)</f>
        <v>16494639</v>
      </c>
      <c r="J134" s="70">
        <f t="shared" si="46"/>
        <v>160189948</v>
      </c>
      <c r="K134" s="70">
        <f t="shared" si="46"/>
        <v>117967589</v>
      </c>
      <c r="L134" s="70">
        <f t="shared" si="46"/>
        <v>0</v>
      </c>
      <c r="M134" s="70">
        <f t="shared" si="46"/>
        <v>0</v>
      </c>
      <c r="N134" s="70">
        <f t="shared" si="46"/>
        <v>0</v>
      </c>
      <c r="O134" s="70">
        <f t="shared" si="46"/>
        <v>2826599</v>
      </c>
      <c r="P134" s="70">
        <f t="shared" si="46"/>
        <v>2826599</v>
      </c>
      <c r="Q134" s="8"/>
      <c r="R134" s="8"/>
      <c r="S134" s="8"/>
      <c r="T134" s="8"/>
      <c r="U134" s="8"/>
      <c r="V134" s="8"/>
      <c r="W134" s="35"/>
    </row>
    <row r="135" spans="1:23" ht="15">
      <c r="A135" s="28"/>
      <c r="B135" s="162" t="s">
        <v>23</v>
      </c>
      <c r="C135" s="163"/>
      <c r="D135" s="184"/>
      <c r="E135" s="188"/>
      <c r="F135" s="189"/>
      <c r="G135" s="191"/>
      <c r="H135" s="8">
        <v>204490344</v>
      </c>
      <c r="I135" s="70">
        <v>11667125</v>
      </c>
      <c r="J135" s="70">
        <v>110968761</v>
      </c>
      <c r="K135" s="70">
        <v>81790708</v>
      </c>
      <c r="L135" s="70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35"/>
    </row>
    <row r="136" spans="1:23" ht="15">
      <c r="A136" s="28"/>
      <c r="B136" s="162" t="s">
        <v>25</v>
      </c>
      <c r="C136" s="163"/>
      <c r="D136" s="184"/>
      <c r="E136" s="188"/>
      <c r="F136" s="189"/>
      <c r="G136" s="191"/>
      <c r="H136" s="8">
        <v>71832341</v>
      </c>
      <c r="I136" s="70">
        <v>3454911</v>
      </c>
      <c r="J136" s="70">
        <v>36166038</v>
      </c>
      <c r="K136" s="70">
        <v>26554444</v>
      </c>
      <c r="L136" s="70"/>
      <c r="M136" s="8"/>
      <c r="N136" s="8"/>
      <c r="O136" s="8">
        <v>2826599</v>
      </c>
      <c r="P136" s="8">
        <v>2826599</v>
      </c>
      <c r="Q136" s="8"/>
      <c r="R136" s="8"/>
      <c r="S136" s="8"/>
      <c r="T136" s="8"/>
      <c r="U136" s="8"/>
      <c r="V136" s="8"/>
      <c r="W136" s="35"/>
    </row>
    <row r="137" spans="1:23" ht="15">
      <c r="A137" s="28"/>
      <c r="B137" s="162" t="s">
        <v>24</v>
      </c>
      <c r="C137" s="163"/>
      <c r="D137" s="185"/>
      <c r="E137" s="192"/>
      <c r="F137" s="193"/>
      <c r="G137" s="194"/>
      <c r="H137" s="8">
        <v>24057689</v>
      </c>
      <c r="I137" s="70">
        <v>1372603</v>
      </c>
      <c r="J137" s="70">
        <v>13055149</v>
      </c>
      <c r="K137" s="70">
        <v>9622437</v>
      </c>
      <c r="L137" s="70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35"/>
    </row>
    <row r="138" spans="1:23" ht="75">
      <c r="A138" s="10">
        <v>22</v>
      </c>
      <c r="B138" s="69" t="s">
        <v>73</v>
      </c>
      <c r="C138" s="24" t="s">
        <v>74</v>
      </c>
      <c r="D138" s="183" t="s">
        <v>149</v>
      </c>
      <c r="E138" s="186" t="s">
        <v>147</v>
      </c>
      <c r="F138" s="187"/>
      <c r="G138" s="190" t="s">
        <v>121</v>
      </c>
      <c r="H138" s="11">
        <f>SUM(H139,H141)</f>
        <v>88252128</v>
      </c>
      <c r="I138" s="72">
        <f t="shared" ref="I138:O138" si="47">SUM(I139,I141)</f>
        <v>73257831</v>
      </c>
      <c r="J138" s="72">
        <f t="shared" si="47"/>
        <v>14376714</v>
      </c>
      <c r="K138" s="72">
        <f t="shared" si="47"/>
        <v>32600</v>
      </c>
      <c r="L138" s="72">
        <f t="shared" si="47"/>
        <v>32600</v>
      </c>
      <c r="M138" s="72">
        <f t="shared" si="47"/>
        <v>82600</v>
      </c>
      <c r="N138" s="72">
        <f t="shared" si="47"/>
        <v>82600</v>
      </c>
      <c r="O138" s="72">
        <f t="shared" si="47"/>
        <v>82600</v>
      </c>
      <c r="P138" s="11"/>
      <c r="Q138" s="11"/>
      <c r="R138" s="11"/>
      <c r="S138" s="11"/>
      <c r="T138" s="11"/>
      <c r="U138" s="11"/>
      <c r="V138" s="11"/>
      <c r="W138" s="41">
        <f>787150+557000+13032564</f>
        <v>14376714</v>
      </c>
    </row>
    <row r="139" spans="1:23" ht="15">
      <c r="A139" s="176" t="s">
        <v>12</v>
      </c>
      <c r="B139" s="165"/>
      <c r="C139" s="166"/>
      <c r="D139" s="184"/>
      <c r="E139" s="188"/>
      <c r="F139" s="189"/>
      <c r="G139" s="191"/>
      <c r="H139" s="8">
        <f>H140</f>
        <v>335600</v>
      </c>
      <c r="I139" s="70">
        <f t="shared" ref="I139:O139" si="48">I140</f>
        <v>0</v>
      </c>
      <c r="J139" s="70">
        <f t="shared" si="48"/>
        <v>22600</v>
      </c>
      <c r="K139" s="70">
        <f t="shared" si="48"/>
        <v>32600</v>
      </c>
      <c r="L139" s="70">
        <f t="shared" si="48"/>
        <v>32600</v>
      </c>
      <c r="M139" s="70">
        <f t="shared" si="48"/>
        <v>82600</v>
      </c>
      <c r="N139" s="70">
        <f t="shared" si="48"/>
        <v>82600</v>
      </c>
      <c r="O139" s="70">
        <f t="shared" si="48"/>
        <v>82600</v>
      </c>
      <c r="P139" s="8"/>
      <c r="Q139" s="8"/>
      <c r="R139" s="8"/>
      <c r="S139" s="8"/>
      <c r="T139" s="8"/>
      <c r="U139" s="8"/>
      <c r="V139" s="8"/>
      <c r="W139" s="35"/>
    </row>
    <row r="140" spans="1:23" ht="15">
      <c r="A140" s="28"/>
      <c r="B140" s="162" t="s">
        <v>25</v>
      </c>
      <c r="C140" s="163"/>
      <c r="D140" s="184"/>
      <c r="E140" s="188"/>
      <c r="F140" s="189"/>
      <c r="G140" s="191"/>
      <c r="H140" s="8">
        <v>335600</v>
      </c>
      <c r="I140" s="70"/>
      <c r="J140" s="70">
        <v>22600</v>
      </c>
      <c r="K140" s="70">
        <v>32600</v>
      </c>
      <c r="L140" s="70">
        <v>32600</v>
      </c>
      <c r="M140" s="8">
        <v>82600</v>
      </c>
      <c r="N140" s="8">
        <v>82600</v>
      </c>
      <c r="O140" s="8">
        <v>82600</v>
      </c>
      <c r="P140" s="8"/>
      <c r="Q140" s="8"/>
      <c r="R140" s="8"/>
      <c r="S140" s="8"/>
      <c r="T140" s="8"/>
      <c r="U140" s="8"/>
      <c r="V140" s="8"/>
      <c r="W140" s="35"/>
    </row>
    <row r="141" spans="1:23" ht="15">
      <c r="A141" s="176" t="s">
        <v>11</v>
      </c>
      <c r="B141" s="165"/>
      <c r="C141" s="166"/>
      <c r="D141" s="184"/>
      <c r="E141" s="188"/>
      <c r="F141" s="189"/>
      <c r="G141" s="191"/>
      <c r="H141" s="8">
        <f>SUM(H142:H143)</f>
        <v>87916528</v>
      </c>
      <c r="I141" s="70">
        <f t="shared" ref="I141:J141" si="49">SUM(I142:I143)</f>
        <v>73257831</v>
      </c>
      <c r="J141" s="70">
        <f t="shared" si="49"/>
        <v>14354114</v>
      </c>
      <c r="K141" s="70"/>
      <c r="L141" s="70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35"/>
    </row>
    <row r="142" spans="1:23" ht="15">
      <c r="A142" s="28"/>
      <c r="B142" s="162" t="s">
        <v>23</v>
      </c>
      <c r="C142" s="163"/>
      <c r="D142" s="184"/>
      <c r="E142" s="188"/>
      <c r="F142" s="189"/>
      <c r="G142" s="191"/>
      <c r="H142" s="8">
        <v>87208227</v>
      </c>
      <c r="I142" s="70">
        <v>72920343</v>
      </c>
      <c r="J142" s="70">
        <v>14122382</v>
      </c>
      <c r="K142" s="70"/>
      <c r="L142" s="70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35"/>
    </row>
    <row r="143" spans="1:23" s="22" customFormat="1" ht="15">
      <c r="A143" s="28"/>
      <c r="B143" s="140" t="s">
        <v>25</v>
      </c>
      <c r="C143" s="141"/>
      <c r="D143" s="185"/>
      <c r="E143" s="192"/>
      <c r="F143" s="193"/>
      <c r="G143" s="194"/>
      <c r="H143" s="21">
        <v>708301</v>
      </c>
      <c r="I143" s="74">
        <v>337488</v>
      </c>
      <c r="J143" s="74">
        <v>231732</v>
      </c>
      <c r="K143" s="74"/>
      <c r="L143" s="74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35"/>
    </row>
    <row r="144" spans="1:23" ht="90">
      <c r="A144" s="10">
        <v>23</v>
      </c>
      <c r="B144" s="71" t="s">
        <v>75</v>
      </c>
      <c r="C144" s="14" t="s">
        <v>76</v>
      </c>
      <c r="D144" s="183" t="s">
        <v>149</v>
      </c>
      <c r="E144" s="186" t="s">
        <v>147</v>
      </c>
      <c r="F144" s="187"/>
      <c r="G144" s="190" t="s">
        <v>121</v>
      </c>
      <c r="H144" s="11">
        <f>SUM(H145,H147)</f>
        <v>58181754</v>
      </c>
      <c r="I144" s="72">
        <f t="shared" ref="I144:O144" si="50">SUM(I145,I147)</f>
        <v>31816695</v>
      </c>
      <c r="J144" s="72">
        <f t="shared" si="50"/>
        <v>25761268</v>
      </c>
      <c r="K144" s="72">
        <f t="shared" si="50"/>
        <v>82340</v>
      </c>
      <c r="L144" s="72">
        <f t="shared" si="50"/>
        <v>82340</v>
      </c>
      <c r="M144" s="72">
        <f t="shared" si="50"/>
        <v>82340</v>
      </c>
      <c r="N144" s="72">
        <f t="shared" si="50"/>
        <v>82340</v>
      </c>
      <c r="O144" s="72">
        <f t="shared" si="50"/>
        <v>82340</v>
      </c>
      <c r="P144" s="11"/>
      <c r="Q144" s="11"/>
      <c r="R144" s="11"/>
      <c r="S144" s="11"/>
      <c r="T144" s="11"/>
      <c r="U144" s="11"/>
      <c r="V144" s="11"/>
      <c r="W144" s="41">
        <f>1563656+24197612</f>
        <v>25761268</v>
      </c>
    </row>
    <row r="145" spans="1:23" ht="15">
      <c r="A145" s="179" t="s">
        <v>12</v>
      </c>
      <c r="B145" s="180"/>
      <c r="C145" s="181"/>
      <c r="D145" s="184"/>
      <c r="E145" s="188"/>
      <c r="F145" s="189"/>
      <c r="G145" s="191"/>
      <c r="H145" s="8">
        <f>H146</f>
        <v>411700</v>
      </c>
      <c r="I145" s="70"/>
      <c r="J145" s="70"/>
      <c r="K145" s="70">
        <f>K146</f>
        <v>82340</v>
      </c>
      <c r="L145" s="70">
        <f t="shared" ref="L145:O145" si="51">L146</f>
        <v>82340</v>
      </c>
      <c r="M145" s="70">
        <f t="shared" si="51"/>
        <v>82340</v>
      </c>
      <c r="N145" s="70">
        <f t="shared" si="51"/>
        <v>82340</v>
      </c>
      <c r="O145" s="70">
        <f t="shared" si="51"/>
        <v>82340</v>
      </c>
      <c r="P145" s="70"/>
      <c r="Q145" s="70"/>
      <c r="R145" s="70"/>
      <c r="S145" s="70"/>
      <c r="T145" s="70"/>
      <c r="U145" s="70"/>
      <c r="V145" s="70"/>
      <c r="W145" s="8"/>
    </row>
    <row r="146" spans="1:23" ht="15">
      <c r="A146" s="28"/>
      <c r="B146" s="162" t="s">
        <v>25</v>
      </c>
      <c r="C146" s="163"/>
      <c r="D146" s="184"/>
      <c r="E146" s="188"/>
      <c r="F146" s="189"/>
      <c r="G146" s="191"/>
      <c r="H146" s="8">
        <v>411700</v>
      </c>
      <c r="I146" s="70"/>
      <c r="J146" s="70"/>
      <c r="K146" s="70">
        <v>82340</v>
      </c>
      <c r="L146" s="70">
        <v>82340</v>
      </c>
      <c r="M146" s="70">
        <v>82340</v>
      </c>
      <c r="N146" s="70">
        <v>82340</v>
      </c>
      <c r="O146" s="70">
        <v>82340</v>
      </c>
      <c r="P146" s="8"/>
      <c r="Q146" s="8"/>
      <c r="R146" s="8"/>
      <c r="S146" s="8"/>
      <c r="T146" s="8"/>
      <c r="U146" s="8"/>
      <c r="V146" s="8"/>
      <c r="W146" s="8"/>
    </row>
    <row r="147" spans="1:23" ht="15">
      <c r="A147" s="176" t="s">
        <v>11</v>
      </c>
      <c r="B147" s="165"/>
      <c r="C147" s="166"/>
      <c r="D147" s="184"/>
      <c r="E147" s="188"/>
      <c r="F147" s="189"/>
      <c r="G147" s="191"/>
      <c r="H147" s="8">
        <f>SUM(H148:H150)</f>
        <v>57770054</v>
      </c>
      <c r="I147" s="70">
        <f t="shared" ref="I147:J147" si="52">SUM(I148:I150)</f>
        <v>31816695</v>
      </c>
      <c r="J147" s="70">
        <f t="shared" si="52"/>
        <v>25761268</v>
      </c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8"/>
    </row>
    <row r="148" spans="1:23" ht="15">
      <c r="A148" s="28"/>
      <c r="B148" s="162" t="s">
        <v>23</v>
      </c>
      <c r="C148" s="163"/>
      <c r="D148" s="184"/>
      <c r="E148" s="188"/>
      <c r="F148" s="189"/>
      <c r="G148" s="191"/>
      <c r="H148" s="8">
        <v>48994087</v>
      </c>
      <c r="I148" s="70">
        <v>27034541</v>
      </c>
      <c r="J148" s="70">
        <v>21897077</v>
      </c>
      <c r="K148" s="70"/>
      <c r="L148" s="70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15">
      <c r="A149" s="28"/>
      <c r="B149" s="140" t="s">
        <v>25</v>
      </c>
      <c r="C149" s="141"/>
      <c r="D149" s="184"/>
      <c r="E149" s="188"/>
      <c r="F149" s="189"/>
      <c r="G149" s="191"/>
      <c r="H149" s="8">
        <v>3011957</v>
      </c>
      <c r="I149" s="70">
        <v>1601620</v>
      </c>
      <c r="J149" s="70">
        <v>1288064</v>
      </c>
      <c r="K149" s="70"/>
      <c r="L149" s="70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s="68" customFormat="1" ht="15">
      <c r="A150" s="76"/>
      <c r="B150" s="162" t="s">
        <v>24</v>
      </c>
      <c r="C150" s="163"/>
      <c r="D150" s="185"/>
      <c r="E150" s="192"/>
      <c r="F150" s="193"/>
      <c r="G150" s="194"/>
      <c r="H150" s="70">
        <v>5764010</v>
      </c>
      <c r="I150" s="70">
        <v>3180534</v>
      </c>
      <c r="J150" s="70">
        <v>2576127</v>
      </c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</row>
    <row r="151" spans="1:23" ht="90" customHeight="1">
      <c r="A151" s="10">
        <v>24</v>
      </c>
      <c r="B151" s="10" t="s">
        <v>77</v>
      </c>
      <c r="C151" s="10" t="s">
        <v>78</v>
      </c>
      <c r="D151" s="183" t="s">
        <v>149</v>
      </c>
      <c r="E151" s="186" t="s">
        <v>40</v>
      </c>
      <c r="F151" s="187"/>
      <c r="G151" s="190" t="s">
        <v>122</v>
      </c>
      <c r="H151" s="11">
        <f>SUM(H152,H156)</f>
        <v>19990723</v>
      </c>
      <c r="I151" s="72">
        <f t="shared" ref="I151:J151" si="53">SUM(I152,I156)</f>
        <v>9233463</v>
      </c>
      <c r="J151" s="72">
        <f t="shared" si="53"/>
        <v>4150669</v>
      </c>
      <c r="K151" s="72"/>
      <c r="L151" s="72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>
        <v>4150669</v>
      </c>
    </row>
    <row r="152" spans="1:23" ht="15">
      <c r="A152" s="176" t="s">
        <v>12</v>
      </c>
      <c r="B152" s="165"/>
      <c r="C152" s="166"/>
      <c r="D152" s="184"/>
      <c r="E152" s="188"/>
      <c r="F152" s="189"/>
      <c r="G152" s="191"/>
      <c r="H152" s="8">
        <f>SUM(H153:H155)</f>
        <v>19319620</v>
      </c>
      <c r="I152" s="70">
        <f t="shared" ref="I152:J152" si="54">SUM(I153:I155)</f>
        <v>8988927</v>
      </c>
      <c r="J152" s="70">
        <f t="shared" si="54"/>
        <v>4150669</v>
      </c>
      <c r="K152" s="70"/>
      <c r="L152" s="70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ht="15">
      <c r="A153" s="28"/>
      <c r="B153" s="162" t="s">
        <v>23</v>
      </c>
      <c r="C153" s="163"/>
      <c r="D153" s="184"/>
      <c r="E153" s="188"/>
      <c r="F153" s="189"/>
      <c r="G153" s="191"/>
      <c r="H153" s="8">
        <v>16421681</v>
      </c>
      <c r="I153" s="70">
        <v>7640587</v>
      </c>
      <c r="J153" s="70">
        <v>3528071</v>
      </c>
      <c r="K153" s="70"/>
      <c r="L153" s="70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15">
      <c r="A154" s="28"/>
      <c r="B154" s="140" t="s">
        <v>25</v>
      </c>
      <c r="C154" s="141"/>
      <c r="D154" s="184"/>
      <c r="E154" s="188"/>
      <c r="F154" s="189"/>
      <c r="G154" s="191"/>
      <c r="H154" s="8">
        <v>1448972</v>
      </c>
      <c r="I154" s="70">
        <v>674171</v>
      </c>
      <c r="J154" s="70">
        <v>311301</v>
      </c>
      <c r="K154" s="70"/>
      <c r="L154" s="70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15">
      <c r="A155" s="28"/>
      <c r="B155" s="162" t="s">
        <v>24</v>
      </c>
      <c r="C155" s="163"/>
      <c r="D155" s="184"/>
      <c r="E155" s="188"/>
      <c r="F155" s="189"/>
      <c r="G155" s="191"/>
      <c r="H155" s="3">
        <v>1448967</v>
      </c>
      <c r="I155" s="70">
        <v>674169</v>
      </c>
      <c r="J155" s="70">
        <v>311297</v>
      </c>
      <c r="K155" s="70"/>
      <c r="L155" s="70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15" customHeight="1">
      <c r="A156" s="176" t="s">
        <v>11</v>
      </c>
      <c r="B156" s="165"/>
      <c r="C156" s="166"/>
      <c r="D156" s="184"/>
      <c r="E156" s="188"/>
      <c r="F156" s="189"/>
      <c r="G156" s="191"/>
      <c r="H156" s="8">
        <f>SUM(H157:H159)</f>
        <v>671103</v>
      </c>
      <c r="I156" s="70">
        <f>SUM(I157:I159)</f>
        <v>244536</v>
      </c>
      <c r="J156" s="70"/>
      <c r="K156" s="70"/>
      <c r="L156" s="70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s="68" customFormat="1" ht="15">
      <c r="A157" s="76"/>
      <c r="B157" s="162" t="s">
        <v>23</v>
      </c>
      <c r="C157" s="163"/>
      <c r="D157" s="184"/>
      <c r="E157" s="188"/>
      <c r="F157" s="189"/>
      <c r="G157" s="191"/>
      <c r="H157" s="70">
        <v>570437</v>
      </c>
      <c r="I157" s="70">
        <v>207855</v>
      </c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</row>
    <row r="158" spans="1:23" s="68" customFormat="1" ht="15">
      <c r="A158" s="76"/>
      <c r="B158" s="140" t="s">
        <v>25</v>
      </c>
      <c r="C158" s="141"/>
      <c r="D158" s="184"/>
      <c r="E158" s="188"/>
      <c r="F158" s="189"/>
      <c r="G158" s="191"/>
      <c r="H158" s="70">
        <v>50333</v>
      </c>
      <c r="I158" s="70">
        <v>18340</v>
      </c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</row>
    <row r="159" spans="1:23" s="68" customFormat="1" ht="15">
      <c r="A159" s="76"/>
      <c r="B159" s="162" t="s">
        <v>24</v>
      </c>
      <c r="C159" s="163"/>
      <c r="D159" s="185"/>
      <c r="E159" s="192"/>
      <c r="F159" s="193"/>
      <c r="G159" s="194"/>
      <c r="H159" s="70">
        <v>50333</v>
      </c>
      <c r="I159" s="70">
        <v>18341</v>
      </c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</row>
    <row r="160" spans="1:23" ht="165">
      <c r="A160" s="10">
        <v>25</v>
      </c>
      <c r="B160" s="71" t="s">
        <v>81</v>
      </c>
      <c r="C160" s="108" t="s">
        <v>288</v>
      </c>
      <c r="D160" s="183" t="s">
        <v>184</v>
      </c>
      <c r="E160" s="186" t="s">
        <v>38</v>
      </c>
      <c r="F160" s="187"/>
      <c r="G160" s="190" t="s">
        <v>123</v>
      </c>
      <c r="H160" s="41">
        <f>SUM(H161,H164)</f>
        <v>6202745</v>
      </c>
      <c r="I160" s="41">
        <f t="shared" ref="I160:L160" si="55">SUM(I161,I164)</f>
        <v>984714</v>
      </c>
      <c r="J160" s="41">
        <f t="shared" si="55"/>
        <v>992623</v>
      </c>
      <c r="K160" s="41">
        <f t="shared" si="55"/>
        <v>1021762</v>
      </c>
      <c r="L160" s="41">
        <f t="shared" si="55"/>
        <v>542869</v>
      </c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>
        <f>90000+2467254</f>
        <v>2557254</v>
      </c>
    </row>
    <row r="161" spans="1:23" ht="15">
      <c r="A161" s="176" t="s">
        <v>12</v>
      </c>
      <c r="B161" s="165"/>
      <c r="C161" s="166"/>
      <c r="D161" s="184"/>
      <c r="E161" s="188"/>
      <c r="F161" s="189"/>
      <c r="G161" s="191"/>
      <c r="H161" s="8">
        <f>SUM(H162:H163)</f>
        <v>6135672</v>
      </c>
      <c r="I161" s="70">
        <f t="shared" ref="I161:L161" si="56">SUM(I162:I163)</f>
        <v>984714</v>
      </c>
      <c r="J161" s="70">
        <f t="shared" si="56"/>
        <v>992623</v>
      </c>
      <c r="K161" s="70">
        <f t="shared" si="56"/>
        <v>1021762</v>
      </c>
      <c r="L161" s="70">
        <f t="shared" si="56"/>
        <v>542869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15">
      <c r="A162" s="28"/>
      <c r="B162" s="162" t="s">
        <v>23</v>
      </c>
      <c r="C162" s="163"/>
      <c r="D162" s="184"/>
      <c r="E162" s="188"/>
      <c r="F162" s="189"/>
      <c r="G162" s="191"/>
      <c r="H162" s="8">
        <v>5215322</v>
      </c>
      <c r="I162" s="70">
        <v>837007</v>
      </c>
      <c r="J162" s="70">
        <v>843730</v>
      </c>
      <c r="K162" s="70">
        <v>868498</v>
      </c>
      <c r="L162" s="70">
        <v>461439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15">
      <c r="A163" s="28"/>
      <c r="B163" s="162" t="s">
        <v>24</v>
      </c>
      <c r="C163" s="163"/>
      <c r="D163" s="184"/>
      <c r="E163" s="188"/>
      <c r="F163" s="189"/>
      <c r="G163" s="191"/>
      <c r="H163" s="8">
        <v>920350</v>
      </c>
      <c r="I163" s="3">
        <v>147707</v>
      </c>
      <c r="J163" s="3">
        <v>148893</v>
      </c>
      <c r="K163" s="15">
        <v>153264</v>
      </c>
      <c r="L163" s="13">
        <v>81430</v>
      </c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15">
      <c r="A164" s="176" t="s">
        <v>11</v>
      </c>
      <c r="B164" s="165"/>
      <c r="C164" s="166"/>
      <c r="D164" s="184"/>
      <c r="E164" s="188"/>
      <c r="F164" s="189"/>
      <c r="G164" s="191"/>
      <c r="H164" s="8">
        <f>SUM(H165:H166)</f>
        <v>67073</v>
      </c>
      <c r="I164" s="70"/>
      <c r="J164" s="70"/>
      <c r="K164" s="70"/>
      <c r="L164" s="70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ht="15">
      <c r="A165" s="28"/>
      <c r="B165" s="162" t="s">
        <v>23</v>
      </c>
      <c r="C165" s="163"/>
      <c r="D165" s="184"/>
      <c r="E165" s="188"/>
      <c r="F165" s="189"/>
      <c r="G165" s="191"/>
      <c r="H165" s="8">
        <v>57012</v>
      </c>
      <c r="I165" s="3"/>
      <c r="J165" s="3"/>
      <c r="K165" s="15"/>
      <c r="L165" s="13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ht="15">
      <c r="A166" s="28"/>
      <c r="B166" s="162" t="s">
        <v>24</v>
      </c>
      <c r="C166" s="163"/>
      <c r="D166" s="185"/>
      <c r="E166" s="192"/>
      <c r="F166" s="193"/>
      <c r="G166" s="194"/>
      <c r="H166" s="8">
        <v>10061</v>
      </c>
      <c r="I166" s="70"/>
      <c r="J166" s="70"/>
      <c r="K166" s="70"/>
      <c r="L166" s="70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ht="60">
      <c r="A167" s="10">
        <v>26</v>
      </c>
      <c r="B167" s="71" t="s">
        <v>161</v>
      </c>
      <c r="C167" s="105" t="s">
        <v>289</v>
      </c>
      <c r="D167" s="183" t="s">
        <v>15</v>
      </c>
      <c r="E167" s="186" t="s">
        <v>34</v>
      </c>
      <c r="F167" s="187"/>
      <c r="G167" s="190" t="s">
        <v>124</v>
      </c>
      <c r="H167" s="11">
        <f>SUM(H168,H171)</f>
        <v>1172504</v>
      </c>
      <c r="I167" s="72">
        <f t="shared" ref="I167:J167" si="57">SUM(I168,I171)</f>
        <v>393111</v>
      </c>
      <c r="J167" s="72">
        <f t="shared" si="57"/>
        <v>428222</v>
      </c>
      <c r="K167" s="72"/>
      <c r="L167" s="72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>
        <v>428222</v>
      </c>
    </row>
    <row r="168" spans="1:23" ht="15">
      <c r="A168" s="179" t="s">
        <v>12</v>
      </c>
      <c r="B168" s="180"/>
      <c r="C168" s="181"/>
      <c r="D168" s="184"/>
      <c r="E168" s="188"/>
      <c r="F168" s="189"/>
      <c r="G168" s="191"/>
      <c r="H168" s="8">
        <f>SUM(H169:H170)</f>
        <v>1172504</v>
      </c>
      <c r="I168" s="70">
        <f t="shared" ref="I168:J168" si="58">SUM(I169:I170)</f>
        <v>393111</v>
      </c>
      <c r="J168" s="70">
        <f t="shared" si="58"/>
        <v>428222</v>
      </c>
      <c r="K168" s="70"/>
      <c r="L168" s="70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ht="15">
      <c r="A169" s="28"/>
      <c r="B169" s="162" t="s">
        <v>23</v>
      </c>
      <c r="C169" s="163"/>
      <c r="D169" s="184"/>
      <c r="E169" s="188"/>
      <c r="F169" s="189"/>
      <c r="G169" s="191"/>
      <c r="H169" s="8">
        <v>996628</v>
      </c>
      <c r="I169" s="70">
        <v>334144</v>
      </c>
      <c r="J169" s="70">
        <v>363989</v>
      </c>
      <c r="K169" s="70"/>
      <c r="L169" s="70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15">
      <c r="A170" s="28"/>
      <c r="B170" s="162" t="s">
        <v>24</v>
      </c>
      <c r="C170" s="163"/>
      <c r="D170" s="184"/>
      <c r="E170" s="188"/>
      <c r="F170" s="189"/>
      <c r="G170" s="191"/>
      <c r="H170" s="8">
        <v>175876</v>
      </c>
      <c r="I170" s="70">
        <v>58967</v>
      </c>
      <c r="J170" s="70">
        <v>64233</v>
      </c>
      <c r="K170" s="70"/>
      <c r="L170" s="70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ht="15">
      <c r="A171" s="176" t="s">
        <v>4</v>
      </c>
      <c r="B171" s="165"/>
      <c r="C171" s="166"/>
      <c r="D171" s="185"/>
      <c r="E171" s="192"/>
      <c r="F171" s="193"/>
      <c r="G171" s="194"/>
      <c r="H171" s="8"/>
      <c r="I171" s="70"/>
      <c r="J171" s="70"/>
      <c r="K171" s="70"/>
      <c r="L171" s="70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s="22" customFormat="1" ht="121.5" customHeight="1">
      <c r="A172" s="85">
        <v>27</v>
      </c>
      <c r="B172" s="85" t="s">
        <v>198</v>
      </c>
      <c r="C172" s="113" t="s">
        <v>290</v>
      </c>
      <c r="D172" s="144" t="s">
        <v>149</v>
      </c>
      <c r="E172" s="195" t="s">
        <v>32</v>
      </c>
      <c r="F172" s="196"/>
      <c r="G172" s="228" t="s">
        <v>131</v>
      </c>
      <c r="H172" s="83">
        <f>SUM(H173:H174)</f>
        <v>99000000</v>
      </c>
      <c r="I172" s="83">
        <f t="shared" ref="I172:L172" si="59">SUM(I173:I174)</f>
        <v>3100000</v>
      </c>
      <c r="J172" s="83">
        <f t="shared" si="59"/>
        <v>20180000</v>
      </c>
      <c r="K172" s="83">
        <f t="shared" si="59"/>
        <v>32770000</v>
      </c>
      <c r="L172" s="83">
        <f t="shared" si="59"/>
        <v>42950000</v>
      </c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>
        <f>55000000-21500000</f>
        <v>33500000</v>
      </c>
    </row>
    <row r="173" spans="1:23" s="22" customFormat="1" ht="15">
      <c r="A173" s="205" t="s">
        <v>3</v>
      </c>
      <c r="B173" s="206"/>
      <c r="C173" s="207"/>
      <c r="D173" s="145"/>
      <c r="E173" s="197"/>
      <c r="F173" s="198"/>
      <c r="G173" s="15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</row>
    <row r="174" spans="1:23" s="22" customFormat="1" ht="15">
      <c r="A174" s="205" t="s">
        <v>11</v>
      </c>
      <c r="B174" s="206"/>
      <c r="C174" s="207"/>
      <c r="D174" s="145"/>
      <c r="E174" s="197"/>
      <c r="F174" s="198"/>
      <c r="G174" s="154"/>
      <c r="H174" s="74">
        <f>SUM(H175:H176)</f>
        <v>99000000</v>
      </c>
      <c r="I174" s="74">
        <f t="shared" ref="I174:L174" si="60">SUM(I175:I176)</f>
        <v>3100000</v>
      </c>
      <c r="J174" s="74">
        <f t="shared" si="60"/>
        <v>20180000</v>
      </c>
      <c r="K174" s="74">
        <f t="shared" si="60"/>
        <v>32770000</v>
      </c>
      <c r="L174" s="74">
        <f t="shared" si="60"/>
        <v>42950000</v>
      </c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</row>
    <row r="175" spans="1:23" s="22" customFormat="1" ht="15">
      <c r="A175" s="112"/>
      <c r="B175" s="142" t="s">
        <v>23</v>
      </c>
      <c r="C175" s="143"/>
      <c r="D175" s="145"/>
      <c r="E175" s="197"/>
      <c r="F175" s="198"/>
      <c r="G175" s="154"/>
      <c r="H175" s="74">
        <f>SUM(I175:L175)</f>
        <v>30000000</v>
      </c>
      <c r="I175" s="74">
        <v>0</v>
      </c>
      <c r="J175" s="74">
        <v>7000000</v>
      </c>
      <c r="K175" s="74">
        <v>13000000</v>
      </c>
      <c r="L175" s="74">
        <v>10000000</v>
      </c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</row>
    <row r="176" spans="1:23" s="22" customFormat="1" ht="15">
      <c r="A176" s="112"/>
      <c r="B176" s="142" t="s">
        <v>25</v>
      </c>
      <c r="C176" s="143"/>
      <c r="D176" s="146"/>
      <c r="E176" s="199"/>
      <c r="F176" s="200"/>
      <c r="G176" s="155"/>
      <c r="H176" s="74">
        <f>SUM(I176:L176)</f>
        <v>69000000</v>
      </c>
      <c r="I176" s="74">
        <f>2600000+500000</f>
        <v>3100000</v>
      </c>
      <c r="J176" s="74">
        <f>7000000+6180000</f>
        <v>13180000</v>
      </c>
      <c r="K176" s="74">
        <f>13000000+6770000</f>
        <v>19770000</v>
      </c>
      <c r="L176" s="74">
        <f>12400000+20550000</f>
        <v>32950000</v>
      </c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</row>
    <row r="177" spans="1:23" s="68" customFormat="1" ht="151.5" customHeight="1">
      <c r="A177" s="71">
        <v>28</v>
      </c>
      <c r="B177" s="71" t="s">
        <v>232</v>
      </c>
      <c r="C177" s="71" t="s">
        <v>233</v>
      </c>
      <c r="D177" s="183" t="s">
        <v>149</v>
      </c>
      <c r="E177" s="186" t="s">
        <v>172</v>
      </c>
      <c r="F177" s="187"/>
      <c r="G177" s="265" t="s">
        <v>131</v>
      </c>
      <c r="H177" s="72">
        <f>SUM(H178,H181)</f>
        <v>508443</v>
      </c>
      <c r="I177" s="72">
        <f t="shared" ref="I177:K177" si="61">SUM(I178,I181)</f>
        <v>159481</v>
      </c>
      <c r="J177" s="72">
        <f t="shared" si="61"/>
        <v>164981</v>
      </c>
      <c r="K177" s="72">
        <f t="shared" si="61"/>
        <v>183981</v>
      </c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41">
        <v>348962</v>
      </c>
    </row>
    <row r="178" spans="1:23" s="68" customFormat="1" ht="15">
      <c r="A178" s="179" t="s">
        <v>12</v>
      </c>
      <c r="B178" s="180"/>
      <c r="C178" s="181"/>
      <c r="D178" s="184"/>
      <c r="E178" s="188"/>
      <c r="F178" s="189"/>
      <c r="G178" s="191"/>
      <c r="H178" s="70">
        <f>SUM(H179:H180)</f>
        <v>508443</v>
      </c>
      <c r="I178" s="70">
        <f t="shared" ref="I178:K178" si="62">SUM(I179:I180)</f>
        <v>159481</v>
      </c>
      <c r="J178" s="70">
        <f t="shared" si="62"/>
        <v>164981</v>
      </c>
      <c r="K178" s="70">
        <f t="shared" si="62"/>
        <v>183981</v>
      </c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35"/>
    </row>
    <row r="179" spans="1:23" s="68" customFormat="1" ht="15" customHeight="1">
      <c r="A179" s="103"/>
      <c r="B179" s="92" t="s">
        <v>23</v>
      </c>
      <c r="C179" s="91"/>
      <c r="D179" s="184"/>
      <c r="E179" s="188"/>
      <c r="F179" s="189"/>
      <c r="G179" s="191"/>
      <c r="H179" s="70">
        <v>432177</v>
      </c>
      <c r="I179" s="70">
        <v>135559</v>
      </c>
      <c r="J179" s="70">
        <v>140234</v>
      </c>
      <c r="K179" s="70">
        <v>156384</v>
      </c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35"/>
    </row>
    <row r="180" spans="1:23" s="68" customFormat="1" ht="15">
      <c r="A180" s="76"/>
      <c r="B180" s="177" t="s">
        <v>25</v>
      </c>
      <c r="C180" s="178"/>
      <c r="D180" s="184"/>
      <c r="E180" s="188"/>
      <c r="F180" s="189"/>
      <c r="G180" s="191"/>
      <c r="H180" s="70">
        <v>76266</v>
      </c>
      <c r="I180" s="70">
        <v>23922</v>
      </c>
      <c r="J180" s="70">
        <v>24747</v>
      </c>
      <c r="K180" s="70">
        <v>27597</v>
      </c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35"/>
    </row>
    <row r="181" spans="1:23" s="68" customFormat="1" ht="15">
      <c r="A181" s="179" t="s">
        <v>4</v>
      </c>
      <c r="B181" s="180"/>
      <c r="C181" s="181"/>
      <c r="D181" s="184"/>
      <c r="E181" s="188"/>
      <c r="F181" s="189"/>
      <c r="G181" s="191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35"/>
    </row>
    <row r="182" spans="1:23" s="22" customFormat="1" ht="151.5" customHeight="1">
      <c r="A182" s="85">
        <v>29</v>
      </c>
      <c r="B182" s="113" t="s">
        <v>278</v>
      </c>
      <c r="C182" s="113" t="s">
        <v>279</v>
      </c>
      <c r="D182" s="144" t="s">
        <v>149</v>
      </c>
      <c r="E182" s="195" t="s">
        <v>172</v>
      </c>
      <c r="F182" s="196"/>
      <c r="G182" s="228" t="s">
        <v>131</v>
      </c>
      <c r="H182" s="83">
        <f>SUM(H183,H186)</f>
        <v>420335</v>
      </c>
      <c r="I182" s="83">
        <f t="shared" ref="I182:K182" si="63">SUM(I183,I186)</f>
        <v>77000</v>
      </c>
      <c r="J182" s="83">
        <f t="shared" si="63"/>
        <v>210093</v>
      </c>
      <c r="K182" s="83">
        <f t="shared" si="63"/>
        <v>133242</v>
      </c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>
        <v>343335</v>
      </c>
    </row>
    <row r="183" spans="1:23" s="22" customFormat="1" ht="15">
      <c r="A183" s="205" t="s">
        <v>12</v>
      </c>
      <c r="B183" s="206"/>
      <c r="C183" s="207"/>
      <c r="D183" s="145"/>
      <c r="E183" s="197"/>
      <c r="F183" s="198"/>
      <c r="G183" s="154"/>
      <c r="H183" s="74">
        <f>SUM(H184:H185)</f>
        <v>420335</v>
      </c>
      <c r="I183" s="74">
        <f t="shared" ref="I183:K183" si="64">SUM(I184:I185)</f>
        <v>77000</v>
      </c>
      <c r="J183" s="74">
        <f t="shared" si="64"/>
        <v>210093</v>
      </c>
      <c r="K183" s="74">
        <f t="shared" si="64"/>
        <v>133242</v>
      </c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</row>
    <row r="184" spans="1:23" s="22" customFormat="1" ht="15" customHeight="1">
      <c r="A184" s="118"/>
      <c r="B184" s="109" t="s">
        <v>23</v>
      </c>
      <c r="C184" s="111"/>
      <c r="D184" s="145"/>
      <c r="E184" s="197"/>
      <c r="F184" s="198"/>
      <c r="G184" s="154"/>
      <c r="H184" s="74">
        <v>357286</v>
      </c>
      <c r="I184" s="74">
        <v>65450</v>
      </c>
      <c r="J184" s="74">
        <v>178580</v>
      </c>
      <c r="K184" s="74">
        <v>113256</v>
      </c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</row>
    <row r="185" spans="1:23" s="22" customFormat="1" ht="15">
      <c r="A185" s="112"/>
      <c r="B185" s="142" t="s">
        <v>25</v>
      </c>
      <c r="C185" s="143"/>
      <c r="D185" s="145"/>
      <c r="E185" s="197"/>
      <c r="F185" s="198"/>
      <c r="G185" s="154"/>
      <c r="H185" s="74">
        <v>63049</v>
      </c>
      <c r="I185" s="74">
        <v>11550</v>
      </c>
      <c r="J185" s="74">
        <v>31513</v>
      </c>
      <c r="K185" s="74">
        <v>19986</v>
      </c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</row>
    <row r="186" spans="1:23" s="22" customFormat="1" ht="15">
      <c r="A186" s="205" t="s">
        <v>4</v>
      </c>
      <c r="B186" s="206"/>
      <c r="C186" s="207"/>
      <c r="D186" s="145"/>
      <c r="E186" s="197"/>
      <c r="F186" s="198"/>
      <c r="G186" s="15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</row>
    <row r="187" spans="1:23" s="68" customFormat="1" ht="195">
      <c r="A187" s="71">
        <v>30</v>
      </c>
      <c r="B187" s="69" t="s">
        <v>151</v>
      </c>
      <c r="C187" s="75" t="s">
        <v>152</v>
      </c>
      <c r="D187" s="183" t="s">
        <v>185</v>
      </c>
      <c r="E187" s="186" t="s">
        <v>36</v>
      </c>
      <c r="F187" s="187"/>
      <c r="G187" s="190" t="s">
        <v>153</v>
      </c>
      <c r="H187" s="72">
        <f>SUM(H188,H190)</f>
        <v>9350000</v>
      </c>
      <c r="I187" s="72">
        <f t="shared" ref="I187:K187" si="65">SUM(I188,I190)</f>
        <v>4357942</v>
      </c>
      <c r="J187" s="72">
        <f t="shared" si="65"/>
        <v>2728087</v>
      </c>
      <c r="K187" s="72">
        <f t="shared" si="65"/>
        <v>1897976</v>
      </c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80">
        <f>8009609-5803954</f>
        <v>2205655</v>
      </c>
    </row>
    <row r="188" spans="1:23" s="68" customFormat="1" ht="15">
      <c r="A188" s="176" t="s">
        <v>12</v>
      </c>
      <c r="B188" s="165"/>
      <c r="C188" s="166"/>
      <c r="D188" s="184"/>
      <c r="E188" s="188"/>
      <c r="F188" s="189"/>
      <c r="G188" s="191"/>
      <c r="H188" s="70">
        <f>H189</f>
        <v>8886295</v>
      </c>
      <c r="I188" s="70">
        <f t="shared" ref="I188:K188" si="66">I189</f>
        <v>3900259</v>
      </c>
      <c r="J188" s="70">
        <f t="shared" si="66"/>
        <v>2728087</v>
      </c>
      <c r="K188" s="70">
        <f t="shared" si="66"/>
        <v>1897976</v>
      </c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80"/>
    </row>
    <row r="189" spans="1:23" s="68" customFormat="1" ht="15">
      <c r="A189" s="76"/>
      <c r="B189" s="162" t="s">
        <v>23</v>
      </c>
      <c r="C189" s="163"/>
      <c r="D189" s="184"/>
      <c r="E189" s="188"/>
      <c r="F189" s="189"/>
      <c r="G189" s="191"/>
      <c r="H189" s="70">
        <v>8886295</v>
      </c>
      <c r="I189" s="70">
        <v>3900259</v>
      </c>
      <c r="J189" s="70">
        <v>2728087</v>
      </c>
      <c r="K189" s="70">
        <v>1897976</v>
      </c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80"/>
    </row>
    <row r="190" spans="1:23" s="68" customFormat="1" ht="15">
      <c r="A190" s="176" t="s">
        <v>11</v>
      </c>
      <c r="B190" s="165"/>
      <c r="C190" s="166"/>
      <c r="D190" s="184"/>
      <c r="E190" s="188"/>
      <c r="F190" s="189"/>
      <c r="G190" s="191"/>
      <c r="H190" s="70">
        <f>H191</f>
        <v>463705</v>
      </c>
      <c r="I190" s="70">
        <f>I191</f>
        <v>457683</v>
      </c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80"/>
    </row>
    <row r="191" spans="1:23" s="68" customFormat="1" ht="15">
      <c r="A191" s="76"/>
      <c r="B191" s="162" t="s">
        <v>23</v>
      </c>
      <c r="C191" s="163"/>
      <c r="D191" s="185"/>
      <c r="E191" s="192"/>
      <c r="F191" s="193"/>
      <c r="G191" s="194"/>
      <c r="H191" s="70">
        <v>463705</v>
      </c>
      <c r="I191" s="70">
        <v>457683</v>
      </c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80"/>
    </row>
    <row r="192" spans="1:23" s="22" customFormat="1" ht="150">
      <c r="A192" s="85">
        <v>31</v>
      </c>
      <c r="B192" s="98" t="s">
        <v>266</v>
      </c>
      <c r="C192" s="119" t="s">
        <v>267</v>
      </c>
      <c r="D192" s="264" t="s">
        <v>21</v>
      </c>
      <c r="E192" s="147" t="s">
        <v>172</v>
      </c>
      <c r="F192" s="196"/>
      <c r="G192" s="266" t="s">
        <v>132</v>
      </c>
      <c r="H192" s="83">
        <f>SUM(H193,H196)</f>
        <v>65609500</v>
      </c>
      <c r="I192" s="83">
        <f t="shared" ref="I192:K192" si="67">SUM(I193,I196)</f>
        <v>10774198</v>
      </c>
      <c r="J192" s="83">
        <f t="shared" si="67"/>
        <v>38560500</v>
      </c>
      <c r="K192" s="83">
        <f t="shared" si="67"/>
        <v>16274802</v>
      </c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120">
        <v>54835302</v>
      </c>
    </row>
    <row r="193" spans="1:23" s="22" customFormat="1" ht="15">
      <c r="A193" s="137" t="s">
        <v>12</v>
      </c>
      <c r="B193" s="138"/>
      <c r="C193" s="139"/>
      <c r="D193" s="145"/>
      <c r="E193" s="197"/>
      <c r="F193" s="198"/>
      <c r="G193" s="267"/>
      <c r="H193" s="74">
        <f>SUM(H194:H195)</f>
        <v>57234900</v>
      </c>
      <c r="I193" s="74">
        <f t="shared" ref="I193:K193" si="68">SUM(I194:I195)</f>
        <v>10629598</v>
      </c>
      <c r="J193" s="74">
        <f t="shared" si="68"/>
        <v>30560500</v>
      </c>
      <c r="K193" s="74">
        <f t="shared" si="68"/>
        <v>16044802</v>
      </c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120"/>
    </row>
    <row r="194" spans="1:23" s="22" customFormat="1" ht="15">
      <c r="A194" s="112"/>
      <c r="B194" s="140" t="s">
        <v>23</v>
      </c>
      <c r="C194" s="141"/>
      <c r="D194" s="145"/>
      <c r="E194" s="197"/>
      <c r="F194" s="198"/>
      <c r="G194" s="267"/>
      <c r="H194" s="74">
        <v>55607174</v>
      </c>
      <c r="I194" s="74">
        <v>10294813</v>
      </c>
      <c r="J194" s="74">
        <v>29752000</v>
      </c>
      <c r="K194" s="74">
        <v>15560361</v>
      </c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120"/>
    </row>
    <row r="195" spans="1:23" s="22" customFormat="1" ht="15">
      <c r="A195" s="112"/>
      <c r="B195" s="109" t="s">
        <v>24</v>
      </c>
      <c r="C195" s="110"/>
      <c r="D195" s="145"/>
      <c r="E195" s="197"/>
      <c r="F195" s="198"/>
      <c r="G195" s="267"/>
      <c r="H195" s="74">
        <v>1627726</v>
      </c>
      <c r="I195" s="74">
        <v>334785</v>
      </c>
      <c r="J195" s="74">
        <v>808500</v>
      </c>
      <c r="K195" s="74">
        <v>484441</v>
      </c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120"/>
    </row>
    <row r="196" spans="1:23" s="22" customFormat="1" ht="15">
      <c r="A196" s="269" t="s">
        <v>11</v>
      </c>
      <c r="B196" s="138"/>
      <c r="C196" s="139"/>
      <c r="D196" s="145"/>
      <c r="E196" s="197"/>
      <c r="F196" s="198"/>
      <c r="G196" s="267"/>
      <c r="H196" s="74">
        <f>SUM(H197:H198)</f>
        <v>8374600</v>
      </c>
      <c r="I196" s="74">
        <f t="shared" ref="I196:K196" si="69">SUM(I197:I198)</f>
        <v>144600</v>
      </c>
      <c r="J196" s="74">
        <f t="shared" si="69"/>
        <v>8000000</v>
      </c>
      <c r="K196" s="74">
        <f t="shared" si="69"/>
        <v>230000</v>
      </c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120"/>
    </row>
    <row r="197" spans="1:23" s="22" customFormat="1" ht="15">
      <c r="A197" s="112"/>
      <c r="B197" s="140" t="s">
        <v>23</v>
      </c>
      <c r="C197" s="141"/>
      <c r="D197" s="145"/>
      <c r="E197" s="197"/>
      <c r="F197" s="198"/>
      <c r="G197" s="267"/>
      <c r="H197" s="74">
        <v>8151494</v>
      </c>
      <c r="I197" s="74">
        <v>140000</v>
      </c>
      <c r="J197" s="74">
        <v>7788438</v>
      </c>
      <c r="K197" s="74">
        <v>223056</v>
      </c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120"/>
    </row>
    <row r="198" spans="1:23" s="22" customFormat="1" ht="15">
      <c r="A198" s="112"/>
      <c r="B198" s="109" t="s">
        <v>24</v>
      </c>
      <c r="C198" s="110"/>
      <c r="D198" s="146"/>
      <c r="E198" s="199"/>
      <c r="F198" s="200"/>
      <c r="G198" s="268"/>
      <c r="H198" s="74">
        <v>223106</v>
      </c>
      <c r="I198" s="74">
        <v>4600</v>
      </c>
      <c r="J198" s="74">
        <v>211562</v>
      </c>
      <c r="K198" s="74">
        <v>6944</v>
      </c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120"/>
    </row>
    <row r="199" spans="1:23" ht="135">
      <c r="A199" s="10">
        <v>32</v>
      </c>
      <c r="B199" s="71" t="s">
        <v>190</v>
      </c>
      <c r="C199" s="10" t="s">
        <v>97</v>
      </c>
      <c r="D199" s="183" t="s">
        <v>149</v>
      </c>
      <c r="E199" s="186" t="s">
        <v>39</v>
      </c>
      <c r="F199" s="187"/>
      <c r="G199" s="190" t="s">
        <v>126</v>
      </c>
      <c r="H199" s="11">
        <f>SUM(H200,H204)</f>
        <v>20000000</v>
      </c>
      <c r="I199" s="72">
        <f t="shared" ref="I199:J199" si="70">SUM(I200,I204)</f>
        <v>4968168</v>
      </c>
      <c r="J199" s="72">
        <f t="shared" si="70"/>
        <v>8757808</v>
      </c>
      <c r="K199" s="72"/>
      <c r="L199" s="72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83">
        <f>4059600+3559208</f>
        <v>7618808</v>
      </c>
    </row>
    <row r="200" spans="1:23" ht="15">
      <c r="A200" s="176" t="s">
        <v>12</v>
      </c>
      <c r="B200" s="165"/>
      <c r="C200" s="166"/>
      <c r="D200" s="184"/>
      <c r="E200" s="188"/>
      <c r="F200" s="189"/>
      <c r="G200" s="191"/>
      <c r="H200" s="8">
        <f>SUM(H201:H203)</f>
        <v>19982224</v>
      </c>
      <c r="I200" s="70">
        <f t="shared" ref="I200:J200" si="71">SUM(I201:I203)</f>
        <v>4968168</v>
      </c>
      <c r="J200" s="70">
        <f t="shared" si="71"/>
        <v>8757808</v>
      </c>
      <c r="K200" s="70"/>
      <c r="L200" s="70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ht="15">
      <c r="A201" s="28"/>
      <c r="B201" s="162" t="s">
        <v>23</v>
      </c>
      <c r="C201" s="163"/>
      <c r="D201" s="184"/>
      <c r="E201" s="188"/>
      <c r="F201" s="189"/>
      <c r="G201" s="191"/>
      <c r="H201" s="8">
        <v>16984890</v>
      </c>
      <c r="I201" s="70">
        <v>4062990</v>
      </c>
      <c r="J201" s="70">
        <v>7604127</v>
      </c>
      <c r="K201" s="70"/>
      <c r="L201" s="70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ht="15">
      <c r="A202" s="28"/>
      <c r="B202" s="140" t="s">
        <v>25</v>
      </c>
      <c r="C202" s="141"/>
      <c r="D202" s="184"/>
      <c r="E202" s="188"/>
      <c r="F202" s="189"/>
      <c r="G202" s="191"/>
      <c r="H202" s="8">
        <v>1498667</v>
      </c>
      <c r="I202" s="70">
        <v>546630</v>
      </c>
      <c r="J202" s="70">
        <v>482799</v>
      </c>
      <c r="K202" s="70"/>
      <c r="L202" s="70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15">
      <c r="A203" s="28"/>
      <c r="B203" s="162" t="s">
        <v>24</v>
      </c>
      <c r="C203" s="163"/>
      <c r="D203" s="184"/>
      <c r="E203" s="188"/>
      <c r="F203" s="189"/>
      <c r="G203" s="191"/>
      <c r="H203" s="8">
        <v>1498667</v>
      </c>
      <c r="I203" s="70">
        <v>358548</v>
      </c>
      <c r="J203" s="70">
        <v>670882</v>
      </c>
      <c r="K203" s="70"/>
      <c r="L203" s="70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ht="15">
      <c r="A204" s="176" t="s">
        <v>11</v>
      </c>
      <c r="B204" s="165"/>
      <c r="C204" s="166"/>
      <c r="D204" s="184"/>
      <c r="E204" s="188"/>
      <c r="F204" s="189"/>
      <c r="G204" s="191"/>
      <c r="H204" s="8">
        <f>SUM(H205:H207)</f>
        <v>17776</v>
      </c>
      <c r="I204" s="70"/>
      <c r="J204" s="70"/>
      <c r="K204" s="70"/>
      <c r="L204" s="70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ht="15">
      <c r="A205" s="28"/>
      <c r="B205" s="162" t="s">
        <v>23</v>
      </c>
      <c r="C205" s="163"/>
      <c r="D205" s="184"/>
      <c r="E205" s="188"/>
      <c r="F205" s="189"/>
      <c r="G205" s="191"/>
      <c r="H205" s="8">
        <v>15109</v>
      </c>
      <c r="I205" s="70"/>
      <c r="J205" s="70"/>
      <c r="K205" s="70"/>
      <c r="L205" s="70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ht="15">
      <c r="A206" s="28"/>
      <c r="B206" s="140" t="s">
        <v>25</v>
      </c>
      <c r="C206" s="141"/>
      <c r="D206" s="184"/>
      <c r="E206" s="188"/>
      <c r="F206" s="189"/>
      <c r="G206" s="191"/>
      <c r="H206" s="8">
        <v>1334</v>
      </c>
      <c r="I206" s="70"/>
      <c r="J206" s="70"/>
      <c r="K206" s="70"/>
      <c r="L206" s="70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ht="15">
      <c r="A207" s="28"/>
      <c r="B207" s="162" t="s">
        <v>24</v>
      </c>
      <c r="C207" s="163"/>
      <c r="D207" s="185"/>
      <c r="E207" s="192"/>
      <c r="F207" s="193"/>
      <c r="G207" s="194"/>
      <c r="H207" s="8">
        <v>1333</v>
      </c>
      <c r="I207" s="70"/>
      <c r="J207" s="70"/>
      <c r="K207" s="70"/>
      <c r="L207" s="70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ht="135">
      <c r="A208" s="10">
        <v>33</v>
      </c>
      <c r="B208" s="69" t="s">
        <v>104</v>
      </c>
      <c r="C208" s="24" t="s">
        <v>105</v>
      </c>
      <c r="D208" s="183" t="s">
        <v>15</v>
      </c>
      <c r="E208" s="195" t="s">
        <v>175</v>
      </c>
      <c r="F208" s="196"/>
      <c r="G208" s="190" t="s">
        <v>127</v>
      </c>
      <c r="H208" s="11">
        <f>SUM(H209,H212)</f>
        <v>14308259</v>
      </c>
      <c r="I208" s="72">
        <f t="shared" ref="I208:L208" si="72">SUM(I209,I212)</f>
        <v>6200996</v>
      </c>
      <c r="J208" s="72">
        <f t="shared" si="72"/>
        <v>4980083</v>
      </c>
      <c r="K208" s="72">
        <f t="shared" si="72"/>
        <v>2271576</v>
      </c>
      <c r="L208" s="72">
        <f t="shared" si="72"/>
        <v>855604</v>
      </c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>
        <v>0</v>
      </c>
    </row>
    <row r="209" spans="1:23" ht="15">
      <c r="A209" s="176" t="s">
        <v>12</v>
      </c>
      <c r="B209" s="165"/>
      <c r="C209" s="166"/>
      <c r="D209" s="184"/>
      <c r="E209" s="197"/>
      <c r="F209" s="198"/>
      <c r="G209" s="191"/>
      <c r="H209" s="8">
        <f>SUM(H210:H211)</f>
        <v>4005857</v>
      </c>
      <c r="I209" s="70">
        <f t="shared" ref="I209:L209" si="73">SUM(I210:I211)</f>
        <v>1306379</v>
      </c>
      <c r="J209" s="70">
        <f t="shared" si="73"/>
        <v>1278234</v>
      </c>
      <c r="K209" s="70">
        <f t="shared" si="73"/>
        <v>1068951</v>
      </c>
      <c r="L209" s="70">
        <f t="shared" si="73"/>
        <v>352293</v>
      </c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ht="15">
      <c r="A210" s="28"/>
      <c r="B210" s="162" t="s">
        <v>23</v>
      </c>
      <c r="C210" s="163"/>
      <c r="D210" s="184"/>
      <c r="E210" s="197"/>
      <c r="F210" s="198"/>
      <c r="G210" s="191"/>
      <c r="H210" s="8">
        <v>3517622</v>
      </c>
      <c r="I210" s="70">
        <v>1149461</v>
      </c>
      <c r="J210" s="70">
        <v>1135879</v>
      </c>
      <c r="K210" s="70">
        <v>932833</v>
      </c>
      <c r="L210" s="70">
        <v>299449</v>
      </c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s="22" customFormat="1" ht="15">
      <c r="A211" s="28"/>
      <c r="B211" s="140" t="s">
        <v>25</v>
      </c>
      <c r="C211" s="141"/>
      <c r="D211" s="184"/>
      <c r="E211" s="197"/>
      <c r="F211" s="198"/>
      <c r="G211" s="191"/>
      <c r="H211" s="21">
        <v>488235</v>
      </c>
      <c r="I211" s="74">
        <v>156918</v>
      </c>
      <c r="J211" s="74">
        <v>142355</v>
      </c>
      <c r="K211" s="74">
        <v>136118</v>
      </c>
      <c r="L211" s="74">
        <v>52844</v>
      </c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</row>
    <row r="212" spans="1:23" ht="15">
      <c r="A212" s="176" t="s">
        <v>11</v>
      </c>
      <c r="B212" s="165"/>
      <c r="C212" s="166"/>
      <c r="D212" s="184"/>
      <c r="E212" s="197"/>
      <c r="F212" s="198"/>
      <c r="G212" s="191"/>
      <c r="H212" s="8">
        <f>SUM(H213:H214)</f>
        <v>10302402</v>
      </c>
      <c r="I212" s="70">
        <f t="shared" ref="I212:L212" si="74">SUM(I213:I214)</f>
        <v>4894617</v>
      </c>
      <c r="J212" s="70">
        <f t="shared" si="74"/>
        <v>3701849</v>
      </c>
      <c r="K212" s="70">
        <f t="shared" si="74"/>
        <v>1202625</v>
      </c>
      <c r="L212" s="70">
        <f t="shared" si="74"/>
        <v>503311</v>
      </c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ht="15">
      <c r="A213" s="28"/>
      <c r="B213" s="162" t="s">
        <v>23</v>
      </c>
      <c r="C213" s="163"/>
      <c r="D213" s="184"/>
      <c r="E213" s="197"/>
      <c r="F213" s="198"/>
      <c r="G213" s="191"/>
      <c r="H213" s="8">
        <v>10297260</v>
      </c>
      <c r="I213" s="70">
        <v>4889475</v>
      </c>
      <c r="J213" s="70">
        <v>3701849</v>
      </c>
      <c r="K213" s="70">
        <v>1202625</v>
      </c>
      <c r="L213" s="70">
        <v>503311</v>
      </c>
      <c r="M213" s="70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s="22" customFormat="1" ht="15">
      <c r="A214" s="28"/>
      <c r="B214" s="140" t="s">
        <v>25</v>
      </c>
      <c r="C214" s="141"/>
      <c r="D214" s="185"/>
      <c r="E214" s="199"/>
      <c r="F214" s="200"/>
      <c r="G214" s="194"/>
      <c r="H214" s="21">
        <v>5142</v>
      </c>
      <c r="I214" s="74">
        <v>5142</v>
      </c>
      <c r="J214" s="74"/>
      <c r="K214" s="74"/>
      <c r="L214" s="74"/>
      <c r="M214" s="74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1:23" ht="150">
      <c r="A215" s="10">
        <v>34</v>
      </c>
      <c r="B215" s="73" t="s">
        <v>22</v>
      </c>
      <c r="C215" s="25" t="s">
        <v>110</v>
      </c>
      <c r="D215" s="183" t="s">
        <v>15</v>
      </c>
      <c r="E215" s="186" t="s">
        <v>34</v>
      </c>
      <c r="F215" s="187"/>
      <c r="G215" s="190" t="s">
        <v>128</v>
      </c>
      <c r="H215" s="11">
        <f>SUM(H216,H219)</f>
        <v>11400000</v>
      </c>
      <c r="I215" s="72">
        <f t="shared" ref="I215:J215" si="75">SUM(I216,I219)</f>
        <v>4000000</v>
      </c>
      <c r="J215" s="72">
        <f t="shared" si="75"/>
        <v>4000000</v>
      </c>
      <c r="K215" s="72"/>
      <c r="L215" s="72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>
        <v>4000000</v>
      </c>
    </row>
    <row r="216" spans="1:23" ht="15">
      <c r="A216" s="176" t="s">
        <v>12</v>
      </c>
      <c r="B216" s="165"/>
      <c r="C216" s="166"/>
      <c r="D216" s="184"/>
      <c r="E216" s="188"/>
      <c r="F216" s="189"/>
      <c r="G216" s="191"/>
      <c r="H216" s="8">
        <f>SUM(H217:H218)</f>
        <v>11400000</v>
      </c>
      <c r="I216" s="70">
        <f t="shared" ref="I216:J216" si="76">SUM(I217:I218)</f>
        <v>4000000</v>
      </c>
      <c r="J216" s="70">
        <f t="shared" si="76"/>
        <v>4000000</v>
      </c>
      <c r="K216" s="70"/>
      <c r="L216" s="70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ht="15">
      <c r="A217" s="28"/>
      <c r="B217" s="162" t="s">
        <v>23</v>
      </c>
      <c r="C217" s="163"/>
      <c r="D217" s="184"/>
      <c r="E217" s="188"/>
      <c r="F217" s="189"/>
      <c r="G217" s="191"/>
      <c r="H217" s="8">
        <v>9690000</v>
      </c>
      <c r="I217" s="70">
        <v>3400000</v>
      </c>
      <c r="J217" s="70">
        <v>3400000</v>
      </c>
      <c r="K217" s="70"/>
      <c r="L217" s="70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ht="15">
      <c r="A218" s="28"/>
      <c r="B218" s="162" t="s">
        <v>24</v>
      </c>
      <c r="C218" s="163"/>
      <c r="D218" s="184"/>
      <c r="E218" s="188"/>
      <c r="F218" s="189"/>
      <c r="G218" s="191"/>
      <c r="H218" s="8">
        <v>1710000</v>
      </c>
      <c r="I218" s="8">
        <v>600000</v>
      </c>
      <c r="J218" s="8">
        <v>600000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ht="15">
      <c r="A219" s="176" t="s">
        <v>4</v>
      </c>
      <c r="B219" s="165"/>
      <c r="C219" s="166"/>
      <c r="D219" s="185"/>
      <c r="E219" s="192"/>
      <c r="F219" s="193"/>
      <c r="G219" s="194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ht="15">
      <c r="A220" s="7"/>
      <c r="B220" s="19"/>
      <c r="C220" s="19"/>
      <c r="D220" s="7"/>
      <c r="E220" s="213"/>
      <c r="F220" s="214"/>
      <c r="G220" s="5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s="47" customFormat="1" ht="15">
      <c r="A221" s="229" t="s">
        <v>6</v>
      </c>
      <c r="B221" s="230"/>
      <c r="C221" s="230"/>
      <c r="D221" s="230"/>
      <c r="E221" s="230"/>
      <c r="F221" s="230"/>
      <c r="G221" s="231"/>
      <c r="H221" s="46">
        <v>0</v>
      </c>
      <c r="I221" s="77">
        <f t="shared" ref="I221:V221" si="77">SUM(I222:I223)</f>
        <v>0</v>
      </c>
      <c r="J221" s="77">
        <f t="shared" si="77"/>
        <v>0</v>
      </c>
      <c r="K221" s="77">
        <f t="shared" si="77"/>
        <v>0</v>
      </c>
      <c r="L221" s="77">
        <f t="shared" si="77"/>
        <v>0</v>
      </c>
      <c r="M221" s="77">
        <f t="shared" si="77"/>
        <v>0</v>
      </c>
      <c r="N221" s="77">
        <f t="shared" si="77"/>
        <v>0</v>
      </c>
      <c r="O221" s="77">
        <f t="shared" si="77"/>
        <v>0</v>
      </c>
      <c r="P221" s="77">
        <f t="shared" si="77"/>
        <v>0</v>
      </c>
      <c r="Q221" s="77">
        <f t="shared" si="77"/>
        <v>0</v>
      </c>
      <c r="R221" s="77">
        <f t="shared" si="77"/>
        <v>0</v>
      </c>
      <c r="S221" s="77">
        <f t="shared" si="77"/>
        <v>0</v>
      </c>
      <c r="T221" s="77">
        <f t="shared" si="77"/>
        <v>0</v>
      </c>
      <c r="U221" s="77">
        <f t="shared" si="77"/>
        <v>0</v>
      </c>
      <c r="V221" s="77">
        <f t="shared" si="77"/>
        <v>0</v>
      </c>
      <c r="W221" s="77">
        <v>0</v>
      </c>
    </row>
    <row r="222" spans="1:23" s="47" customFormat="1" ht="15">
      <c r="A222" s="232" t="s">
        <v>3</v>
      </c>
      <c r="B222" s="233"/>
      <c r="C222" s="234"/>
      <c r="D222" s="45"/>
      <c r="E222" s="235"/>
      <c r="F222" s="236"/>
      <c r="G222" s="60"/>
      <c r="H222" s="46">
        <v>0</v>
      </c>
      <c r="I222" s="77">
        <v>0</v>
      </c>
      <c r="J222" s="77">
        <v>0</v>
      </c>
      <c r="K222" s="77">
        <v>0</v>
      </c>
      <c r="L222" s="77">
        <f t="shared" ref="L222:V222" si="78">SUM(L386)</f>
        <v>0</v>
      </c>
      <c r="M222" s="77">
        <f t="shared" si="78"/>
        <v>0</v>
      </c>
      <c r="N222" s="77">
        <f t="shared" si="78"/>
        <v>0</v>
      </c>
      <c r="O222" s="77">
        <f t="shared" si="78"/>
        <v>0</v>
      </c>
      <c r="P222" s="77">
        <f t="shared" si="78"/>
        <v>0</v>
      </c>
      <c r="Q222" s="77">
        <f t="shared" si="78"/>
        <v>0</v>
      </c>
      <c r="R222" s="77">
        <f t="shared" si="78"/>
        <v>0</v>
      </c>
      <c r="S222" s="77">
        <f t="shared" si="78"/>
        <v>0</v>
      </c>
      <c r="T222" s="77">
        <f t="shared" si="78"/>
        <v>0</v>
      </c>
      <c r="U222" s="77">
        <f t="shared" si="78"/>
        <v>0</v>
      </c>
      <c r="V222" s="77">
        <f t="shared" si="78"/>
        <v>0</v>
      </c>
      <c r="W222" s="77"/>
    </row>
    <row r="223" spans="1:23" s="47" customFormat="1" ht="15">
      <c r="A223" s="232" t="s">
        <v>4</v>
      </c>
      <c r="B223" s="233"/>
      <c r="C223" s="234"/>
      <c r="D223" s="45"/>
      <c r="E223" s="235"/>
      <c r="F223" s="236"/>
      <c r="G223" s="60"/>
      <c r="H223" s="46">
        <v>0</v>
      </c>
      <c r="I223" s="77">
        <f t="shared" ref="I223:V223" si="79">SUM(I388)</f>
        <v>0</v>
      </c>
      <c r="J223" s="77">
        <f t="shared" si="79"/>
        <v>0</v>
      </c>
      <c r="K223" s="77">
        <f t="shared" si="79"/>
        <v>0</v>
      </c>
      <c r="L223" s="77">
        <f t="shared" si="79"/>
        <v>0</v>
      </c>
      <c r="M223" s="77">
        <f t="shared" si="79"/>
        <v>0</v>
      </c>
      <c r="N223" s="77">
        <f t="shared" si="79"/>
        <v>0</v>
      </c>
      <c r="O223" s="77">
        <f t="shared" si="79"/>
        <v>0</v>
      </c>
      <c r="P223" s="77">
        <f t="shared" si="79"/>
        <v>0</v>
      </c>
      <c r="Q223" s="77">
        <f t="shared" si="79"/>
        <v>0</v>
      </c>
      <c r="R223" s="77">
        <f t="shared" si="79"/>
        <v>0</v>
      </c>
      <c r="S223" s="77">
        <f t="shared" si="79"/>
        <v>0</v>
      </c>
      <c r="T223" s="77">
        <f t="shared" si="79"/>
        <v>0</v>
      </c>
      <c r="U223" s="77">
        <f t="shared" si="79"/>
        <v>0</v>
      </c>
      <c r="V223" s="77">
        <f t="shared" si="79"/>
        <v>0</v>
      </c>
      <c r="W223" s="77"/>
    </row>
    <row r="224" spans="1:23" ht="15">
      <c r="A224" s="7"/>
      <c r="B224" s="19"/>
      <c r="C224" s="19"/>
      <c r="D224" s="7"/>
      <c r="E224" s="213"/>
      <c r="F224" s="214"/>
      <c r="G224" s="57"/>
      <c r="H224" s="8"/>
      <c r="I224" s="8"/>
      <c r="J224" s="8"/>
      <c r="K224" s="8"/>
      <c r="L224" s="8"/>
      <c r="M224" s="8"/>
      <c r="N224" s="8"/>
      <c r="O224" s="8"/>
      <c r="P224" s="8"/>
      <c r="Q224" s="2"/>
      <c r="R224" s="2"/>
      <c r="S224" s="2"/>
      <c r="T224" s="2"/>
      <c r="U224" s="2"/>
      <c r="V224" s="2"/>
      <c r="W224" s="2"/>
    </row>
    <row r="225" spans="1:23" s="47" customFormat="1" ht="15">
      <c r="A225" s="229" t="s">
        <v>7</v>
      </c>
      <c r="B225" s="230"/>
      <c r="C225" s="230"/>
      <c r="D225" s="230"/>
      <c r="E225" s="230"/>
      <c r="F225" s="230"/>
      <c r="G225" s="231"/>
      <c r="H225" s="77">
        <f>SUM(H226:H227)</f>
        <v>1003432514</v>
      </c>
      <c r="I225" s="77">
        <f>SUM(I226:I227)</f>
        <v>249224447</v>
      </c>
      <c r="J225" s="77">
        <f>SUM(J226:J227)</f>
        <v>269531560</v>
      </c>
      <c r="K225" s="77">
        <f t="shared" ref="K225:V225" si="80">SUM(K226:K227)</f>
        <v>95146587</v>
      </c>
      <c r="L225" s="77">
        <f t="shared" si="80"/>
        <v>51930477</v>
      </c>
      <c r="M225" s="77">
        <f t="shared" si="80"/>
        <v>12977925</v>
      </c>
      <c r="N225" s="77">
        <f t="shared" si="80"/>
        <v>12477925</v>
      </c>
      <c r="O225" s="77">
        <f t="shared" si="80"/>
        <v>16327991</v>
      </c>
      <c r="P225" s="77">
        <f t="shared" si="80"/>
        <v>1327991</v>
      </c>
      <c r="Q225" s="77">
        <f t="shared" si="80"/>
        <v>1327991</v>
      </c>
      <c r="R225" s="77">
        <f t="shared" si="80"/>
        <v>200000</v>
      </c>
      <c r="S225" s="77">
        <f t="shared" si="80"/>
        <v>200000</v>
      </c>
      <c r="T225" s="77">
        <f t="shared" si="80"/>
        <v>200000</v>
      </c>
      <c r="U225" s="77">
        <f t="shared" si="80"/>
        <v>200000</v>
      </c>
      <c r="V225" s="77">
        <f t="shared" si="80"/>
        <v>200000</v>
      </c>
      <c r="W225" s="51">
        <f>SUM(W228,W233,W249,W256,W263,W268,W273,W279,W284,W288,W292,W297,W301,W305,W309,W313,W317,W322,W326,W330,W334,W338,W342,W346,W350,W355,W359,W363,W368,W373,W377,W237,W241,W245)</f>
        <v>186306776</v>
      </c>
    </row>
    <row r="226" spans="1:23" s="47" customFormat="1" ht="15">
      <c r="A226" s="232" t="s">
        <v>3</v>
      </c>
      <c r="B226" s="233"/>
      <c r="C226" s="234"/>
      <c r="D226" s="45"/>
      <c r="E226" s="235"/>
      <c r="F226" s="236"/>
      <c r="G226" s="60"/>
      <c r="H226" s="77">
        <f>SUM(H229,H234,H250,H257,H264,H269,H274,H280,H289,H293,H298,H302,H306,H310,H314,H318,H323,H331,H335,H339,H343,H351,H356,H360,H364,H378,H238,H374,H369,H285,H327,H347)</f>
        <v>556743212</v>
      </c>
      <c r="I226" s="77">
        <f t="shared" ref="I226:V226" si="81">SUM(I229,I234,I250,I257,I264,I269,I274,I280,I289,I293,I298,I302,I306,I310,I314,I318,I323,I331,I335,I339,I343,I351,I356,I360,I364,I378,I238,I374,I369,I285,I327,I347)</f>
        <v>155730166</v>
      </c>
      <c r="J226" s="77">
        <f t="shared" si="81"/>
        <v>154210795</v>
      </c>
      <c r="K226" s="77">
        <f t="shared" si="81"/>
        <v>62898687</v>
      </c>
      <c r="L226" s="77">
        <f t="shared" si="81"/>
        <v>30897231</v>
      </c>
      <c r="M226" s="77">
        <f t="shared" si="81"/>
        <v>2977925</v>
      </c>
      <c r="N226" s="77">
        <f t="shared" si="81"/>
        <v>2477925</v>
      </c>
      <c r="O226" s="77">
        <f t="shared" si="81"/>
        <v>1327991</v>
      </c>
      <c r="P226" s="77">
        <f t="shared" si="81"/>
        <v>1327991</v>
      </c>
      <c r="Q226" s="77">
        <f t="shared" si="81"/>
        <v>1327991</v>
      </c>
      <c r="R226" s="77">
        <f t="shared" si="81"/>
        <v>200000</v>
      </c>
      <c r="S226" s="77">
        <f t="shared" si="81"/>
        <v>200000</v>
      </c>
      <c r="T226" s="77">
        <f t="shared" si="81"/>
        <v>200000</v>
      </c>
      <c r="U226" s="77">
        <f t="shared" si="81"/>
        <v>200000</v>
      </c>
      <c r="V226" s="77">
        <f t="shared" si="81"/>
        <v>200000</v>
      </c>
      <c r="W226" s="51"/>
    </row>
    <row r="227" spans="1:23" s="47" customFormat="1" ht="15">
      <c r="A227" s="232" t="s">
        <v>4</v>
      </c>
      <c r="B227" s="233"/>
      <c r="C227" s="234"/>
      <c r="D227" s="45"/>
      <c r="E227" s="235"/>
      <c r="F227" s="236"/>
      <c r="G227" s="60"/>
      <c r="H227" s="77">
        <f>SUM(H231,H236,H253,H260,H266,H271,H275,H283,H291,H294,H304,H307,H311,H316,H320,H325,H332,H337,H341,H344,H353,H358,H362,H367,H379,H300,H243,H247,H375,H372,H287,H329,H348)</f>
        <v>446689302</v>
      </c>
      <c r="I227" s="77">
        <f t="shared" ref="I227:V227" si="82">SUM(I231,I236,I253,I260,I266,I271,I275,I283,I291,I294,I304,I307,I311,I316,I320,I325,I332,I337,I341,I344,I353,I358,I362,I367,I379,I300,I243,I247,I375,I372,I287,I329,I348)</f>
        <v>93494281</v>
      </c>
      <c r="J227" s="77">
        <f t="shared" si="82"/>
        <v>115320765</v>
      </c>
      <c r="K227" s="77">
        <f t="shared" si="82"/>
        <v>32247900</v>
      </c>
      <c r="L227" s="77">
        <f t="shared" si="82"/>
        <v>21033246</v>
      </c>
      <c r="M227" s="77">
        <f t="shared" si="82"/>
        <v>10000000</v>
      </c>
      <c r="N227" s="77">
        <f t="shared" si="82"/>
        <v>10000000</v>
      </c>
      <c r="O227" s="77">
        <f t="shared" si="82"/>
        <v>15000000</v>
      </c>
      <c r="P227" s="77">
        <f t="shared" si="82"/>
        <v>0</v>
      </c>
      <c r="Q227" s="77">
        <f t="shared" si="82"/>
        <v>0</v>
      </c>
      <c r="R227" s="77">
        <f t="shared" si="82"/>
        <v>0</v>
      </c>
      <c r="S227" s="77">
        <f t="shared" si="82"/>
        <v>0</v>
      </c>
      <c r="T227" s="77">
        <f t="shared" si="82"/>
        <v>0</v>
      </c>
      <c r="U227" s="77">
        <f t="shared" si="82"/>
        <v>0</v>
      </c>
      <c r="V227" s="77">
        <f t="shared" si="82"/>
        <v>0</v>
      </c>
      <c r="W227" s="51"/>
    </row>
    <row r="228" spans="1:23" s="68" customFormat="1" ht="166.5" customHeight="1">
      <c r="A228" s="71">
        <v>1</v>
      </c>
      <c r="B228" s="69" t="s">
        <v>237</v>
      </c>
      <c r="C228" s="75" t="s">
        <v>238</v>
      </c>
      <c r="D228" s="183" t="s">
        <v>234</v>
      </c>
      <c r="E228" s="186" t="s">
        <v>34</v>
      </c>
      <c r="F228" s="187"/>
      <c r="G228" s="183" t="s">
        <v>235</v>
      </c>
      <c r="H228" s="72">
        <f>SUM(H229,H231)</f>
        <v>1149764</v>
      </c>
      <c r="I228" s="72">
        <f>SUM(I229,I231)</f>
        <v>704000</v>
      </c>
      <c r="J228" s="72">
        <f>SUM(J229,J231)</f>
        <v>400000</v>
      </c>
      <c r="K228" s="72"/>
      <c r="L228" s="72"/>
      <c r="M228" s="72"/>
      <c r="N228" s="72"/>
      <c r="O228" s="12"/>
      <c r="P228" s="12"/>
      <c r="Q228" s="12"/>
      <c r="R228" s="12"/>
      <c r="S228" s="12"/>
      <c r="T228" s="12"/>
      <c r="U228" s="12"/>
      <c r="V228" s="12"/>
      <c r="W228" s="100">
        <v>400000</v>
      </c>
    </row>
    <row r="229" spans="1:23" s="68" customFormat="1" ht="15">
      <c r="A229" s="176" t="s">
        <v>12</v>
      </c>
      <c r="B229" s="165"/>
      <c r="C229" s="166"/>
      <c r="D229" s="184"/>
      <c r="E229" s="188"/>
      <c r="F229" s="189"/>
      <c r="G229" s="184"/>
      <c r="H229" s="70">
        <f>H230</f>
        <v>1051220</v>
      </c>
      <c r="I229" s="70">
        <f t="shared" ref="I229:J229" si="83">I230</f>
        <v>614000</v>
      </c>
      <c r="J229" s="70">
        <f t="shared" si="83"/>
        <v>400000</v>
      </c>
      <c r="K229" s="70"/>
      <c r="L229" s="70"/>
      <c r="M229" s="70"/>
      <c r="N229" s="70"/>
      <c r="O229" s="2"/>
      <c r="P229" s="2"/>
      <c r="Q229" s="2"/>
      <c r="R229" s="2"/>
      <c r="S229" s="2"/>
      <c r="T229" s="2"/>
      <c r="U229" s="2"/>
      <c r="V229" s="2"/>
      <c r="W229" s="2"/>
    </row>
    <row r="230" spans="1:23" s="68" customFormat="1" ht="15">
      <c r="A230" s="76"/>
      <c r="B230" s="162" t="s">
        <v>25</v>
      </c>
      <c r="C230" s="163"/>
      <c r="D230" s="184"/>
      <c r="E230" s="188"/>
      <c r="F230" s="189"/>
      <c r="G230" s="184"/>
      <c r="H230" s="70">
        <v>1051220</v>
      </c>
      <c r="I230" s="3">
        <v>614000</v>
      </c>
      <c r="J230" s="3">
        <v>400000</v>
      </c>
      <c r="K230" s="3"/>
      <c r="L230" s="3"/>
      <c r="M230" s="13"/>
      <c r="N230" s="70"/>
      <c r="O230" s="2"/>
      <c r="P230" s="2"/>
      <c r="Q230" s="2"/>
      <c r="R230" s="2"/>
      <c r="S230" s="2"/>
      <c r="T230" s="2"/>
      <c r="U230" s="2"/>
      <c r="V230" s="2"/>
      <c r="W230" s="2"/>
    </row>
    <row r="231" spans="1:23" s="68" customFormat="1" ht="15">
      <c r="A231" s="176" t="s">
        <v>11</v>
      </c>
      <c r="B231" s="165"/>
      <c r="C231" s="166"/>
      <c r="D231" s="184"/>
      <c r="E231" s="188"/>
      <c r="F231" s="189"/>
      <c r="G231" s="184"/>
      <c r="H231" s="70">
        <f>H232</f>
        <v>98544</v>
      </c>
      <c r="I231" s="70">
        <f t="shared" ref="I231" si="84">I232</f>
        <v>90000</v>
      </c>
      <c r="J231" s="70"/>
      <c r="K231" s="70"/>
      <c r="L231" s="70"/>
      <c r="M231" s="13"/>
      <c r="N231" s="70"/>
      <c r="O231" s="2"/>
      <c r="P231" s="2"/>
      <c r="Q231" s="2"/>
      <c r="R231" s="2"/>
      <c r="S231" s="2"/>
      <c r="T231" s="2"/>
      <c r="U231" s="2"/>
      <c r="V231" s="2"/>
      <c r="W231" s="2"/>
    </row>
    <row r="232" spans="1:23" s="68" customFormat="1" ht="15">
      <c r="A232" s="76"/>
      <c r="B232" s="162" t="s">
        <v>25</v>
      </c>
      <c r="C232" s="163"/>
      <c r="D232" s="185"/>
      <c r="E232" s="192"/>
      <c r="F232" s="193"/>
      <c r="G232" s="185"/>
      <c r="H232" s="70">
        <v>98544</v>
      </c>
      <c r="I232" s="3">
        <v>90000</v>
      </c>
      <c r="J232" s="3"/>
      <c r="K232" s="3"/>
      <c r="L232" s="3"/>
      <c r="M232" s="13"/>
      <c r="N232" s="70"/>
      <c r="O232" s="2"/>
      <c r="P232" s="2"/>
      <c r="Q232" s="2"/>
      <c r="R232" s="2"/>
      <c r="S232" s="2"/>
      <c r="T232" s="2"/>
      <c r="U232" s="2"/>
      <c r="V232" s="2"/>
      <c r="W232" s="2"/>
    </row>
    <row r="233" spans="1:23" s="47" customFormat="1" ht="75">
      <c r="A233" s="39">
        <v>2</v>
      </c>
      <c r="B233" s="96" t="s">
        <v>251</v>
      </c>
      <c r="C233" s="39" t="s">
        <v>144</v>
      </c>
      <c r="D233" s="167" t="s">
        <v>186</v>
      </c>
      <c r="E233" s="182" t="s">
        <v>32</v>
      </c>
      <c r="F233" s="157"/>
      <c r="G233" s="255" t="s">
        <v>116</v>
      </c>
      <c r="H233" s="80">
        <f>SUM(H234,H236)</f>
        <v>308623</v>
      </c>
      <c r="I233" s="80">
        <f t="shared" ref="I233:L233" si="85">SUM(I234,I236)</f>
        <v>65000</v>
      </c>
      <c r="J233" s="80">
        <f t="shared" si="85"/>
        <v>66950</v>
      </c>
      <c r="K233" s="80">
        <f t="shared" si="85"/>
        <v>68959</v>
      </c>
      <c r="L233" s="80">
        <f t="shared" si="85"/>
        <v>71028</v>
      </c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101">
        <v>206937</v>
      </c>
    </row>
    <row r="234" spans="1:23" s="47" customFormat="1" ht="15">
      <c r="A234" s="176" t="s">
        <v>12</v>
      </c>
      <c r="B234" s="165"/>
      <c r="C234" s="166"/>
      <c r="D234" s="168"/>
      <c r="E234" s="158"/>
      <c r="F234" s="159"/>
      <c r="G234" s="256"/>
      <c r="H234" s="81">
        <f>H235</f>
        <v>308623</v>
      </c>
      <c r="I234" s="81">
        <f t="shared" ref="I234:L234" si="86">I235</f>
        <v>65000</v>
      </c>
      <c r="J234" s="81">
        <f t="shared" si="86"/>
        <v>66950</v>
      </c>
      <c r="K234" s="81">
        <f t="shared" si="86"/>
        <v>68959</v>
      </c>
      <c r="L234" s="81">
        <f t="shared" si="86"/>
        <v>71028</v>
      </c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8"/>
    </row>
    <row r="235" spans="1:23" s="47" customFormat="1" ht="15">
      <c r="A235" s="79"/>
      <c r="B235" s="162" t="s">
        <v>25</v>
      </c>
      <c r="C235" s="163"/>
      <c r="D235" s="168"/>
      <c r="E235" s="158"/>
      <c r="F235" s="159"/>
      <c r="G235" s="256"/>
      <c r="H235" s="81">
        <v>308623</v>
      </c>
      <c r="I235" s="81">
        <v>65000</v>
      </c>
      <c r="J235" s="81">
        <v>66950</v>
      </c>
      <c r="K235" s="81">
        <v>68959</v>
      </c>
      <c r="L235" s="81">
        <v>71028</v>
      </c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8"/>
    </row>
    <row r="236" spans="1:23" s="47" customFormat="1" ht="15">
      <c r="A236" s="176" t="s">
        <v>4</v>
      </c>
      <c r="B236" s="165"/>
      <c r="C236" s="166"/>
      <c r="D236" s="169"/>
      <c r="E236" s="160"/>
      <c r="F236" s="161"/>
      <c r="G236" s="257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8"/>
    </row>
    <row r="237" spans="1:23" s="47" customFormat="1" ht="60">
      <c r="A237" s="39">
        <v>3</v>
      </c>
      <c r="B237" s="96" t="s">
        <v>243</v>
      </c>
      <c r="C237" s="96" t="s">
        <v>244</v>
      </c>
      <c r="D237" s="167" t="s">
        <v>186</v>
      </c>
      <c r="E237" s="156" t="s">
        <v>172</v>
      </c>
      <c r="F237" s="157"/>
      <c r="G237" s="255" t="s">
        <v>116</v>
      </c>
      <c r="H237" s="80">
        <f>SUM(H238,H240)</f>
        <v>3240000</v>
      </c>
      <c r="I237" s="80">
        <f t="shared" ref="I237:K237" si="87">SUM(I238,I240)</f>
        <v>810000</v>
      </c>
      <c r="J237" s="80">
        <f t="shared" si="87"/>
        <v>1620000</v>
      </c>
      <c r="K237" s="80">
        <f t="shared" si="87"/>
        <v>810000</v>
      </c>
      <c r="L237" s="80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101">
        <v>2430000</v>
      </c>
    </row>
    <row r="238" spans="1:23" s="47" customFormat="1" ht="15">
      <c r="A238" s="176" t="s">
        <v>12</v>
      </c>
      <c r="B238" s="165"/>
      <c r="C238" s="166"/>
      <c r="D238" s="168"/>
      <c r="E238" s="158"/>
      <c r="F238" s="159"/>
      <c r="G238" s="256"/>
      <c r="H238" s="81">
        <f>H239</f>
        <v>3240000</v>
      </c>
      <c r="I238" s="81">
        <f t="shared" ref="I238:K238" si="88">I239</f>
        <v>810000</v>
      </c>
      <c r="J238" s="81">
        <f t="shared" si="88"/>
        <v>1620000</v>
      </c>
      <c r="K238" s="81">
        <f t="shared" si="88"/>
        <v>810000</v>
      </c>
      <c r="L238" s="81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8"/>
    </row>
    <row r="239" spans="1:23" s="47" customFormat="1" ht="15">
      <c r="A239" s="79"/>
      <c r="B239" s="162" t="s">
        <v>24</v>
      </c>
      <c r="C239" s="163"/>
      <c r="D239" s="168"/>
      <c r="E239" s="158"/>
      <c r="F239" s="159"/>
      <c r="G239" s="256"/>
      <c r="H239" s="81">
        <v>3240000</v>
      </c>
      <c r="I239" s="81">
        <v>810000</v>
      </c>
      <c r="J239" s="81">
        <v>1620000</v>
      </c>
      <c r="K239" s="81">
        <v>810000</v>
      </c>
      <c r="L239" s="81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8"/>
    </row>
    <row r="240" spans="1:23" s="47" customFormat="1" ht="15">
      <c r="A240" s="176" t="s">
        <v>4</v>
      </c>
      <c r="B240" s="165"/>
      <c r="C240" s="166"/>
      <c r="D240" s="169"/>
      <c r="E240" s="160"/>
      <c r="F240" s="161"/>
      <c r="G240" s="257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8"/>
    </row>
    <row r="241" spans="1:23" s="47" customFormat="1" ht="150">
      <c r="A241" s="39">
        <v>4</v>
      </c>
      <c r="B241" s="97" t="s">
        <v>245</v>
      </c>
      <c r="C241" s="96" t="s">
        <v>144</v>
      </c>
      <c r="D241" s="167" t="s">
        <v>186</v>
      </c>
      <c r="E241" s="156" t="s">
        <v>29</v>
      </c>
      <c r="F241" s="170"/>
      <c r="G241" s="258" t="s">
        <v>249</v>
      </c>
      <c r="H241" s="80">
        <f>SUM(H242,H243)</f>
        <v>2661229</v>
      </c>
      <c r="I241" s="80">
        <f>SUM(I242,I243)</f>
        <v>2000000</v>
      </c>
      <c r="J241" s="80">
        <f>SUM(J242,J243)</f>
        <v>206455</v>
      </c>
      <c r="K241" s="80"/>
      <c r="L241" s="80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101">
        <v>206455</v>
      </c>
    </row>
    <row r="242" spans="1:23" s="47" customFormat="1" ht="15">
      <c r="A242" s="164" t="s">
        <v>3</v>
      </c>
      <c r="B242" s="165"/>
      <c r="C242" s="166"/>
      <c r="D242" s="168"/>
      <c r="E242" s="171"/>
      <c r="F242" s="172"/>
      <c r="G242" s="259"/>
      <c r="H242" s="81"/>
      <c r="I242" s="81"/>
      <c r="J242" s="81"/>
      <c r="K242" s="81"/>
      <c r="L242" s="81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8"/>
    </row>
    <row r="243" spans="1:23" s="47" customFormat="1" ht="15">
      <c r="A243" s="164" t="s">
        <v>11</v>
      </c>
      <c r="B243" s="165"/>
      <c r="C243" s="166"/>
      <c r="D243" s="168"/>
      <c r="E243" s="171"/>
      <c r="F243" s="172"/>
      <c r="G243" s="259"/>
      <c r="H243" s="35">
        <f>H244</f>
        <v>2661229</v>
      </c>
      <c r="I243" s="35">
        <f t="shared" ref="I243:J243" si="89">I244</f>
        <v>2000000</v>
      </c>
      <c r="J243" s="35">
        <f t="shared" si="89"/>
        <v>206455</v>
      </c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8"/>
    </row>
    <row r="244" spans="1:23" s="47" customFormat="1" ht="15">
      <c r="A244" s="99"/>
      <c r="B244" s="162" t="s">
        <v>24</v>
      </c>
      <c r="C244" s="163"/>
      <c r="D244" s="169"/>
      <c r="E244" s="173"/>
      <c r="F244" s="174"/>
      <c r="G244" s="260"/>
      <c r="H244" s="35">
        <v>2661229</v>
      </c>
      <c r="I244" s="35">
        <v>2000000</v>
      </c>
      <c r="J244" s="35">
        <v>206455</v>
      </c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8"/>
    </row>
    <row r="245" spans="1:23" s="47" customFormat="1" ht="120">
      <c r="A245" s="39">
        <v>5</v>
      </c>
      <c r="B245" s="97" t="s">
        <v>246</v>
      </c>
      <c r="C245" s="96" t="s">
        <v>247</v>
      </c>
      <c r="D245" s="167" t="s">
        <v>186</v>
      </c>
      <c r="E245" s="156" t="s">
        <v>252</v>
      </c>
      <c r="F245" s="170"/>
      <c r="G245" s="258" t="s">
        <v>248</v>
      </c>
      <c r="H245" s="80">
        <f>SUM(H246,H247)</f>
        <v>14586847</v>
      </c>
      <c r="I245" s="80">
        <f>SUM(I246,I247)</f>
        <v>3087958</v>
      </c>
      <c r="J245" s="80">
        <f>SUM(J246,J247)</f>
        <v>2793545</v>
      </c>
      <c r="K245" s="80"/>
      <c r="L245" s="80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101">
        <v>2793545</v>
      </c>
    </row>
    <row r="246" spans="1:23" s="47" customFormat="1" ht="15">
      <c r="A246" s="164" t="s">
        <v>3</v>
      </c>
      <c r="B246" s="165"/>
      <c r="C246" s="166"/>
      <c r="D246" s="168"/>
      <c r="E246" s="171"/>
      <c r="F246" s="172"/>
      <c r="G246" s="259"/>
      <c r="H246" s="81"/>
      <c r="I246" s="81"/>
      <c r="J246" s="81"/>
      <c r="K246" s="81"/>
      <c r="L246" s="81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8"/>
    </row>
    <row r="247" spans="1:23" s="47" customFormat="1" ht="15">
      <c r="A247" s="164" t="s">
        <v>11</v>
      </c>
      <c r="B247" s="165"/>
      <c r="C247" s="166"/>
      <c r="D247" s="168"/>
      <c r="E247" s="171"/>
      <c r="F247" s="172"/>
      <c r="G247" s="259"/>
      <c r="H247" s="35">
        <f>H248</f>
        <v>14586847</v>
      </c>
      <c r="I247" s="35">
        <f t="shared" ref="I247" si="90">I248</f>
        <v>3087958</v>
      </c>
      <c r="J247" s="35">
        <f t="shared" ref="J247" si="91">J248</f>
        <v>2793545</v>
      </c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8"/>
    </row>
    <row r="248" spans="1:23" s="47" customFormat="1" ht="15">
      <c r="A248" s="99"/>
      <c r="B248" s="162" t="s">
        <v>24</v>
      </c>
      <c r="C248" s="163"/>
      <c r="D248" s="169"/>
      <c r="E248" s="173"/>
      <c r="F248" s="174"/>
      <c r="G248" s="260"/>
      <c r="H248" s="35">
        <v>14586847</v>
      </c>
      <c r="I248" s="35">
        <v>3087958</v>
      </c>
      <c r="J248" s="35">
        <v>2793545</v>
      </c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8"/>
    </row>
    <row r="249" spans="1:23" s="22" customFormat="1" ht="328.5" customHeight="1">
      <c r="A249" s="121">
        <v>6</v>
      </c>
      <c r="B249" s="85" t="s">
        <v>49</v>
      </c>
      <c r="C249" s="122" t="s">
        <v>48</v>
      </c>
      <c r="D249" s="144" t="s">
        <v>149</v>
      </c>
      <c r="E249" s="195" t="s">
        <v>37</v>
      </c>
      <c r="F249" s="196"/>
      <c r="G249" s="144" t="s">
        <v>129</v>
      </c>
      <c r="H249" s="120">
        <f>SUM(H250,H253)</f>
        <v>36530900</v>
      </c>
      <c r="I249" s="120">
        <f t="shared" ref="I249:L249" si="92">SUM(I250,I253)</f>
        <v>5520000</v>
      </c>
      <c r="J249" s="120">
        <f t="shared" si="92"/>
        <v>5713000</v>
      </c>
      <c r="K249" s="120">
        <f t="shared" si="92"/>
        <v>5754000</v>
      </c>
      <c r="L249" s="120">
        <f t="shared" si="92"/>
        <v>5754000</v>
      </c>
      <c r="M249" s="120"/>
      <c r="N249" s="120"/>
      <c r="O249" s="120"/>
      <c r="P249" s="120"/>
      <c r="Q249" s="123"/>
      <c r="R249" s="123"/>
      <c r="S249" s="123"/>
      <c r="T249" s="123"/>
      <c r="U249" s="123"/>
      <c r="V249" s="123"/>
      <c r="W249" s="124">
        <v>0</v>
      </c>
    </row>
    <row r="250" spans="1:23" s="22" customFormat="1" ht="15">
      <c r="A250" s="137" t="s">
        <v>12</v>
      </c>
      <c r="B250" s="138"/>
      <c r="C250" s="139"/>
      <c r="D250" s="145"/>
      <c r="E250" s="197"/>
      <c r="F250" s="198"/>
      <c r="G250" s="145"/>
      <c r="H250" s="74">
        <f>SUM(H251:H252)</f>
        <v>36209500</v>
      </c>
      <c r="I250" s="74">
        <f t="shared" ref="I250:L250" si="93">SUM(I251:I252)</f>
        <v>5430000</v>
      </c>
      <c r="J250" s="74">
        <f t="shared" si="93"/>
        <v>5698000</v>
      </c>
      <c r="K250" s="74">
        <f t="shared" si="93"/>
        <v>5739000</v>
      </c>
      <c r="L250" s="74">
        <f t="shared" si="93"/>
        <v>5739000</v>
      </c>
      <c r="M250" s="74"/>
      <c r="N250" s="74"/>
      <c r="O250" s="74"/>
      <c r="P250" s="74"/>
      <c r="Q250" s="116"/>
      <c r="R250" s="116"/>
      <c r="S250" s="116"/>
      <c r="T250" s="116"/>
      <c r="U250" s="116"/>
      <c r="V250" s="116"/>
      <c r="W250" s="116"/>
    </row>
    <row r="251" spans="1:23" s="22" customFormat="1" ht="15">
      <c r="A251" s="112"/>
      <c r="B251" s="140" t="s">
        <v>25</v>
      </c>
      <c r="C251" s="141"/>
      <c r="D251" s="145"/>
      <c r="E251" s="197"/>
      <c r="F251" s="198"/>
      <c r="G251" s="145"/>
      <c r="H251" s="74">
        <f>8279000-4142540</f>
        <v>4136460</v>
      </c>
      <c r="I251" s="74">
        <v>287000</v>
      </c>
      <c r="J251" s="74">
        <v>410000</v>
      </c>
      <c r="K251" s="74">
        <f>1290000-865000</f>
        <v>425000</v>
      </c>
      <c r="L251" s="74">
        <f>5739000-3159000</f>
        <v>2580000</v>
      </c>
      <c r="M251" s="74"/>
      <c r="N251" s="74"/>
      <c r="O251" s="74"/>
      <c r="P251" s="74"/>
      <c r="Q251" s="116"/>
      <c r="R251" s="116"/>
      <c r="S251" s="116"/>
      <c r="T251" s="116"/>
      <c r="U251" s="116"/>
      <c r="V251" s="116"/>
      <c r="W251" s="116"/>
    </row>
    <row r="252" spans="1:23" s="22" customFormat="1" ht="15">
      <c r="A252" s="112"/>
      <c r="B252" s="140" t="s">
        <v>24</v>
      </c>
      <c r="C252" s="141"/>
      <c r="D252" s="145"/>
      <c r="E252" s="197"/>
      <c r="F252" s="198"/>
      <c r="G252" s="145"/>
      <c r="H252" s="74">
        <f>28871250+3201790</f>
        <v>32073040</v>
      </c>
      <c r="I252" s="74">
        <v>5143000</v>
      </c>
      <c r="J252" s="74">
        <v>5288000</v>
      </c>
      <c r="K252" s="74">
        <f>4449000+865000</f>
        <v>5314000</v>
      </c>
      <c r="L252" s="74">
        <v>3159000</v>
      </c>
      <c r="M252" s="74"/>
      <c r="N252" s="74"/>
      <c r="O252" s="74"/>
      <c r="P252" s="74"/>
      <c r="Q252" s="116"/>
      <c r="R252" s="116"/>
      <c r="S252" s="116"/>
      <c r="T252" s="116"/>
      <c r="U252" s="116"/>
      <c r="V252" s="116"/>
      <c r="W252" s="116"/>
    </row>
    <row r="253" spans="1:23" s="22" customFormat="1" ht="15">
      <c r="A253" s="137" t="s">
        <v>11</v>
      </c>
      <c r="B253" s="138"/>
      <c r="C253" s="139"/>
      <c r="D253" s="145"/>
      <c r="E253" s="197"/>
      <c r="F253" s="198"/>
      <c r="G253" s="145"/>
      <c r="H253" s="74">
        <f>SUM(H254:H255)</f>
        <v>321400</v>
      </c>
      <c r="I253" s="74">
        <f t="shared" ref="I253:L253" si="94">SUM(I254:I255)</f>
        <v>90000</v>
      </c>
      <c r="J253" s="74">
        <f t="shared" si="94"/>
        <v>15000</v>
      </c>
      <c r="K253" s="74">
        <f t="shared" si="94"/>
        <v>15000</v>
      </c>
      <c r="L253" s="74">
        <f t="shared" si="94"/>
        <v>15000</v>
      </c>
      <c r="M253" s="74"/>
      <c r="N253" s="74"/>
      <c r="O253" s="74"/>
      <c r="P253" s="74"/>
      <c r="Q253" s="116"/>
      <c r="R253" s="116"/>
      <c r="S253" s="116"/>
      <c r="T253" s="116"/>
      <c r="U253" s="116"/>
      <c r="V253" s="116"/>
      <c r="W253" s="116"/>
    </row>
    <row r="254" spans="1:23" s="22" customFormat="1" ht="15">
      <c r="A254" s="112"/>
      <c r="B254" s="140" t="s">
        <v>25</v>
      </c>
      <c r="C254" s="141"/>
      <c r="D254" s="145"/>
      <c r="E254" s="197"/>
      <c r="F254" s="198"/>
      <c r="G254" s="145"/>
      <c r="H254" s="74">
        <f>80000-13110</f>
        <v>66890</v>
      </c>
      <c r="I254" s="74">
        <v>30000</v>
      </c>
      <c r="J254" s="74">
        <v>3000</v>
      </c>
      <c r="K254" s="74">
        <v>3000</v>
      </c>
      <c r="L254" s="74">
        <f>15000-12000</f>
        <v>3000</v>
      </c>
      <c r="M254" s="74"/>
      <c r="N254" s="74"/>
      <c r="O254" s="74"/>
      <c r="P254" s="74"/>
      <c r="Q254" s="116"/>
      <c r="R254" s="116"/>
      <c r="S254" s="116"/>
      <c r="T254" s="116"/>
      <c r="U254" s="116"/>
      <c r="V254" s="116"/>
      <c r="W254" s="116"/>
    </row>
    <row r="255" spans="1:23" s="22" customFormat="1" ht="15">
      <c r="A255" s="112"/>
      <c r="B255" s="140" t="s">
        <v>24</v>
      </c>
      <c r="C255" s="141"/>
      <c r="D255" s="146"/>
      <c r="E255" s="199"/>
      <c r="F255" s="200"/>
      <c r="G255" s="146"/>
      <c r="H255" s="74">
        <f>246250+8260</f>
        <v>254510</v>
      </c>
      <c r="I255" s="74">
        <v>60000</v>
      </c>
      <c r="J255" s="74">
        <v>12000</v>
      </c>
      <c r="K255" s="74">
        <v>12000</v>
      </c>
      <c r="L255" s="74">
        <v>12000</v>
      </c>
      <c r="M255" s="74"/>
      <c r="N255" s="74"/>
      <c r="O255" s="74"/>
      <c r="P255" s="74"/>
      <c r="Q255" s="116"/>
      <c r="R255" s="116"/>
      <c r="S255" s="116"/>
      <c r="T255" s="116"/>
      <c r="U255" s="116"/>
      <c r="V255" s="116"/>
      <c r="W255" s="116"/>
    </row>
    <row r="256" spans="1:23" ht="343.5" customHeight="1">
      <c r="A256" s="10">
        <v>7</v>
      </c>
      <c r="B256" s="71" t="s">
        <v>51</v>
      </c>
      <c r="C256" s="26" t="s">
        <v>50</v>
      </c>
      <c r="D256" s="183" t="s">
        <v>149</v>
      </c>
      <c r="E256" s="186" t="s">
        <v>38</v>
      </c>
      <c r="F256" s="187"/>
      <c r="G256" s="183" t="s">
        <v>130</v>
      </c>
      <c r="H256" s="11">
        <f>SUM(H257,H260)</f>
        <v>2780774</v>
      </c>
      <c r="I256" s="72">
        <f t="shared" ref="I256:L256" si="95">SUM(I257,I260)</f>
        <v>504579</v>
      </c>
      <c r="J256" s="72">
        <f t="shared" si="95"/>
        <v>625000</v>
      </c>
      <c r="K256" s="72">
        <f t="shared" si="95"/>
        <v>685000</v>
      </c>
      <c r="L256" s="72">
        <f t="shared" si="95"/>
        <v>360000</v>
      </c>
      <c r="M256" s="11"/>
      <c r="N256" s="11"/>
      <c r="O256" s="11"/>
      <c r="P256" s="11"/>
      <c r="Q256" s="12"/>
      <c r="R256" s="12"/>
      <c r="S256" s="12"/>
      <c r="T256" s="12"/>
      <c r="U256" s="12"/>
      <c r="V256" s="12"/>
      <c r="W256" s="100">
        <v>0</v>
      </c>
    </row>
    <row r="257" spans="1:23" ht="15">
      <c r="A257" s="176" t="s">
        <v>12</v>
      </c>
      <c r="B257" s="165"/>
      <c r="C257" s="166"/>
      <c r="D257" s="184"/>
      <c r="E257" s="188"/>
      <c r="F257" s="189"/>
      <c r="G257" s="184"/>
      <c r="H257" s="8">
        <f>SUM(H258:H259)</f>
        <v>2712474</v>
      </c>
      <c r="I257" s="70">
        <f t="shared" ref="I257:L257" si="96">SUM(I258:I259)</f>
        <v>492279</v>
      </c>
      <c r="J257" s="70">
        <f t="shared" si="96"/>
        <v>610000</v>
      </c>
      <c r="K257" s="70">
        <f t="shared" si="96"/>
        <v>670000</v>
      </c>
      <c r="L257" s="70">
        <f t="shared" si="96"/>
        <v>350000</v>
      </c>
      <c r="M257" s="8"/>
      <c r="N257" s="8"/>
      <c r="O257" s="8"/>
      <c r="P257" s="8"/>
      <c r="Q257" s="2"/>
      <c r="R257" s="2"/>
      <c r="S257" s="2"/>
      <c r="T257" s="2"/>
      <c r="U257" s="2"/>
      <c r="V257" s="2"/>
      <c r="W257" s="2"/>
    </row>
    <row r="258" spans="1:23" s="68" customFormat="1" ht="15">
      <c r="A258" s="76"/>
      <c r="B258" s="162" t="s">
        <v>25</v>
      </c>
      <c r="C258" s="163"/>
      <c r="D258" s="184"/>
      <c r="E258" s="188"/>
      <c r="F258" s="189"/>
      <c r="G258" s="184"/>
      <c r="H258" s="70">
        <v>6903</v>
      </c>
      <c r="I258" s="70">
        <v>6279</v>
      </c>
      <c r="J258" s="70"/>
      <c r="K258" s="70"/>
      <c r="L258" s="70"/>
      <c r="M258" s="13"/>
      <c r="N258" s="70"/>
      <c r="O258" s="70"/>
      <c r="P258" s="70"/>
      <c r="Q258" s="2"/>
      <c r="R258" s="2"/>
      <c r="S258" s="2"/>
      <c r="T258" s="2"/>
      <c r="U258" s="2"/>
      <c r="V258" s="2"/>
      <c r="W258" s="2"/>
    </row>
    <row r="259" spans="1:23" ht="15">
      <c r="A259" s="28"/>
      <c r="B259" s="162" t="s">
        <v>24</v>
      </c>
      <c r="C259" s="163"/>
      <c r="D259" s="184"/>
      <c r="E259" s="188"/>
      <c r="F259" s="189"/>
      <c r="G259" s="184"/>
      <c r="H259" s="8">
        <v>2705571</v>
      </c>
      <c r="I259" s="3">
        <v>486000</v>
      </c>
      <c r="J259" s="3">
        <v>610000</v>
      </c>
      <c r="K259" s="3">
        <v>670000</v>
      </c>
      <c r="L259" s="3">
        <v>350000</v>
      </c>
      <c r="M259" s="13"/>
      <c r="N259" s="8"/>
      <c r="O259" s="8"/>
      <c r="P259" s="8"/>
      <c r="Q259" s="2"/>
      <c r="R259" s="2"/>
      <c r="S259" s="2"/>
      <c r="T259" s="2"/>
      <c r="U259" s="2"/>
      <c r="V259" s="2"/>
      <c r="W259" s="2"/>
    </row>
    <row r="260" spans="1:23" ht="15">
      <c r="A260" s="176" t="s">
        <v>11</v>
      </c>
      <c r="B260" s="165"/>
      <c r="C260" s="166"/>
      <c r="D260" s="184"/>
      <c r="E260" s="188"/>
      <c r="F260" s="189"/>
      <c r="G260" s="184"/>
      <c r="H260" s="8">
        <f>SUM(H261:H262)</f>
        <v>68300</v>
      </c>
      <c r="I260" s="70">
        <f t="shared" ref="I260:L260" si="97">SUM(I261:I262)</f>
        <v>12300</v>
      </c>
      <c r="J260" s="70">
        <f t="shared" si="97"/>
        <v>15000</v>
      </c>
      <c r="K260" s="70">
        <f t="shared" si="97"/>
        <v>15000</v>
      </c>
      <c r="L260" s="70">
        <f t="shared" si="97"/>
        <v>10000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s="68" customFormat="1" ht="15">
      <c r="A261" s="76"/>
      <c r="B261" s="162" t="s">
        <v>25</v>
      </c>
      <c r="C261" s="163"/>
      <c r="D261" s="184"/>
      <c r="E261" s="188"/>
      <c r="F261" s="189"/>
      <c r="G261" s="184"/>
      <c r="H261" s="70">
        <v>2300</v>
      </c>
      <c r="I261" s="70">
        <v>2300</v>
      </c>
      <c r="J261" s="70"/>
      <c r="K261" s="70"/>
      <c r="L261" s="70"/>
      <c r="M261" s="44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">
      <c r="A262" s="33"/>
      <c r="B262" s="162" t="s">
        <v>24</v>
      </c>
      <c r="C262" s="163"/>
      <c r="D262" s="185"/>
      <c r="E262" s="192"/>
      <c r="F262" s="193"/>
      <c r="G262" s="185"/>
      <c r="H262" s="8">
        <v>66000</v>
      </c>
      <c r="I262" s="3">
        <v>10000</v>
      </c>
      <c r="J262" s="3">
        <v>15000</v>
      </c>
      <c r="K262" s="3">
        <v>15000</v>
      </c>
      <c r="L262" s="3">
        <v>10000</v>
      </c>
      <c r="M262" s="44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s="22" customFormat="1" ht="99" customHeight="1">
      <c r="A263" s="85">
        <v>8</v>
      </c>
      <c r="B263" s="98" t="s">
        <v>261</v>
      </c>
      <c r="C263" s="119" t="s">
        <v>54</v>
      </c>
      <c r="D263" s="144" t="s">
        <v>13</v>
      </c>
      <c r="E263" s="195" t="s">
        <v>36</v>
      </c>
      <c r="F263" s="196"/>
      <c r="G263" s="153" t="s">
        <v>189</v>
      </c>
      <c r="H263" s="83">
        <f>SUM(H264,H266)</f>
        <v>103787748</v>
      </c>
      <c r="I263" s="83">
        <f>SUM(I264,I266)</f>
        <v>30559867</v>
      </c>
      <c r="J263" s="83">
        <f>SUM(J264,J266)</f>
        <v>29827312</v>
      </c>
      <c r="K263" s="83">
        <f>SUM(K264,K266)</f>
        <v>15175615</v>
      </c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>
        <v>0</v>
      </c>
    </row>
    <row r="264" spans="1:23" s="22" customFormat="1" ht="15">
      <c r="A264" s="205" t="s">
        <v>12</v>
      </c>
      <c r="B264" s="206"/>
      <c r="C264" s="207"/>
      <c r="D264" s="145"/>
      <c r="E264" s="197"/>
      <c r="F264" s="198"/>
      <c r="G264" s="154"/>
      <c r="H264" s="74">
        <f>H265</f>
        <v>103603379</v>
      </c>
      <c r="I264" s="74">
        <f>SUM(I265:I265)</f>
        <v>30397190</v>
      </c>
      <c r="J264" s="74">
        <f>SUM(J265:J265)</f>
        <v>29827312</v>
      </c>
      <c r="K264" s="74">
        <f>SUM(K265:K265)</f>
        <v>15175615</v>
      </c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</row>
    <row r="265" spans="1:23" s="22" customFormat="1" ht="15">
      <c r="A265" s="112"/>
      <c r="B265" s="142" t="s">
        <v>24</v>
      </c>
      <c r="C265" s="143"/>
      <c r="D265" s="145"/>
      <c r="E265" s="197"/>
      <c r="F265" s="198"/>
      <c r="G265" s="154"/>
      <c r="H265" s="125">
        <f>105449611-1846232</f>
        <v>103603379</v>
      </c>
      <c r="I265" s="74">
        <f>30731975-334785</f>
        <v>30397190</v>
      </c>
      <c r="J265" s="74">
        <f>30847374-1020062</f>
        <v>29827312</v>
      </c>
      <c r="K265" s="74">
        <f>15667000-491385</f>
        <v>15175615</v>
      </c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</row>
    <row r="266" spans="1:23" s="22" customFormat="1" ht="15">
      <c r="A266" s="205" t="s">
        <v>11</v>
      </c>
      <c r="B266" s="206"/>
      <c r="C266" s="207"/>
      <c r="D266" s="145"/>
      <c r="E266" s="197"/>
      <c r="F266" s="198"/>
      <c r="G266" s="154"/>
      <c r="H266" s="74">
        <f>H267</f>
        <v>184369</v>
      </c>
      <c r="I266" s="74">
        <f>SUM(I267:I267)</f>
        <v>162677</v>
      </c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</row>
    <row r="267" spans="1:23" s="22" customFormat="1" ht="15">
      <c r="A267" s="112"/>
      <c r="B267" s="142" t="s">
        <v>24</v>
      </c>
      <c r="C267" s="143"/>
      <c r="D267" s="146"/>
      <c r="E267" s="199"/>
      <c r="F267" s="200"/>
      <c r="G267" s="155"/>
      <c r="H267" s="126">
        <f>188969-4600</f>
        <v>184369</v>
      </c>
      <c r="I267" s="74">
        <f>167277-4600</f>
        <v>162677</v>
      </c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</row>
    <row r="268" spans="1:23" s="22" customFormat="1" ht="91.5" customHeight="1">
      <c r="A268" s="85">
        <v>9</v>
      </c>
      <c r="B268" s="98" t="s">
        <v>53</v>
      </c>
      <c r="C268" s="119" t="s">
        <v>52</v>
      </c>
      <c r="D268" s="144" t="s">
        <v>149</v>
      </c>
      <c r="E268" s="195" t="s">
        <v>32</v>
      </c>
      <c r="F268" s="196"/>
      <c r="G268" s="264" t="s">
        <v>258</v>
      </c>
      <c r="H268" s="83">
        <f>SUM(H269,H271)</f>
        <v>239755895</v>
      </c>
      <c r="I268" s="83">
        <f t="shared" ref="I268:L268" si="98">SUM(I269,I271)</f>
        <v>71497877</v>
      </c>
      <c r="J268" s="83">
        <f t="shared" si="98"/>
        <v>92881378</v>
      </c>
      <c r="K268" s="83">
        <f t="shared" si="98"/>
        <v>9596000</v>
      </c>
      <c r="L268" s="83">
        <f t="shared" si="98"/>
        <v>2625000</v>
      </c>
      <c r="M268" s="83"/>
      <c r="N268" s="83"/>
      <c r="O268" s="127"/>
      <c r="P268" s="127"/>
      <c r="Q268" s="127"/>
      <c r="R268" s="127"/>
      <c r="S268" s="127"/>
      <c r="T268" s="127"/>
      <c r="U268" s="127"/>
      <c r="V268" s="127"/>
      <c r="W268" s="102">
        <v>0</v>
      </c>
    </row>
    <row r="269" spans="1:23" s="22" customFormat="1" ht="15">
      <c r="A269" s="137" t="s">
        <v>12</v>
      </c>
      <c r="B269" s="138"/>
      <c r="C269" s="139"/>
      <c r="D269" s="145"/>
      <c r="E269" s="197"/>
      <c r="F269" s="198"/>
      <c r="G269" s="145"/>
      <c r="H269" s="74">
        <f>H270</f>
        <v>5244934</v>
      </c>
      <c r="I269" s="74">
        <f t="shared" ref="I269:L269" si="99">I270</f>
        <v>1856150</v>
      </c>
      <c r="J269" s="74">
        <f t="shared" si="99"/>
        <v>1834639</v>
      </c>
      <c r="K269" s="74">
        <f t="shared" si="99"/>
        <v>730594</v>
      </c>
      <c r="L269" s="74">
        <f t="shared" si="99"/>
        <v>687501</v>
      </c>
      <c r="M269" s="74"/>
      <c r="N269" s="74"/>
      <c r="O269" s="116"/>
      <c r="P269" s="116"/>
      <c r="Q269" s="116"/>
      <c r="R269" s="116"/>
      <c r="S269" s="116"/>
      <c r="T269" s="116"/>
      <c r="U269" s="116"/>
      <c r="V269" s="116"/>
      <c r="W269" s="116"/>
    </row>
    <row r="270" spans="1:23" s="22" customFormat="1" ht="15">
      <c r="A270" s="112"/>
      <c r="B270" s="140" t="s">
        <v>24</v>
      </c>
      <c r="C270" s="141"/>
      <c r="D270" s="145"/>
      <c r="E270" s="197"/>
      <c r="F270" s="198"/>
      <c r="G270" s="145"/>
      <c r="H270" s="74">
        <v>5244934</v>
      </c>
      <c r="I270" s="128">
        <v>1856150</v>
      </c>
      <c r="J270" s="128">
        <v>1834639</v>
      </c>
      <c r="K270" s="128">
        <v>730594</v>
      </c>
      <c r="L270" s="128">
        <v>687501</v>
      </c>
      <c r="M270" s="129"/>
      <c r="N270" s="74"/>
      <c r="O270" s="116"/>
      <c r="P270" s="116"/>
      <c r="Q270" s="116"/>
      <c r="R270" s="116"/>
      <c r="S270" s="116"/>
      <c r="T270" s="116"/>
      <c r="U270" s="116"/>
      <c r="V270" s="116"/>
      <c r="W270" s="116"/>
    </row>
    <row r="271" spans="1:23" s="22" customFormat="1" ht="15">
      <c r="A271" s="137" t="s">
        <v>11</v>
      </c>
      <c r="B271" s="138"/>
      <c r="C271" s="139"/>
      <c r="D271" s="145"/>
      <c r="E271" s="197"/>
      <c r="F271" s="198"/>
      <c r="G271" s="145"/>
      <c r="H271" s="74">
        <f>H272</f>
        <v>234510961</v>
      </c>
      <c r="I271" s="74">
        <f t="shared" ref="I271:L271" si="100">I272</f>
        <v>69641727</v>
      </c>
      <c r="J271" s="74">
        <f t="shared" si="100"/>
        <v>91046739</v>
      </c>
      <c r="K271" s="74">
        <f t="shared" si="100"/>
        <v>8865406</v>
      </c>
      <c r="L271" s="74">
        <f t="shared" si="100"/>
        <v>1937499</v>
      </c>
      <c r="M271" s="129"/>
      <c r="N271" s="74"/>
      <c r="O271" s="116"/>
      <c r="P271" s="116"/>
      <c r="Q271" s="116"/>
      <c r="R271" s="116"/>
      <c r="S271" s="116"/>
      <c r="T271" s="116"/>
      <c r="U271" s="116"/>
      <c r="V271" s="116"/>
      <c r="W271" s="116"/>
    </row>
    <row r="272" spans="1:23" s="22" customFormat="1" ht="15">
      <c r="A272" s="112"/>
      <c r="B272" s="140" t="s">
        <v>24</v>
      </c>
      <c r="C272" s="141"/>
      <c r="D272" s="146"/>
      <c r="E272" s="199"/>
      <c r="F272" s="200"/>
      <c r="G272" s="146"/>
      <c r="H272" s="74">
        <f>252450875-17939914</f>
        <v>234510961</v>
      </c>
      <c r="I272" s="128">
        <f>69641727</f>
        <v>69641727</v>
      </c>
      <c r="J272" s="128">
        <f>62583410+28463329</f>
        <v>91046739</v>
      </c>
      <c r="K272" s="128">
        <f>27411502-18546096</f>
        <v>8865406</v>
      </c>
      <c r="L272" s="128">
        <f>25794645-23857146</f>
        <v>1937499</v>
      </c>
      <c r="M272" s="129"/>
      <c r="N272" s="74"/>
      <c r="O272" s="116"/>
      <c r="P272" s="116"/>
      <c r="Q272" s="116"/>
      <c r="R272" s="116"/>
      <c r="S272" s="116"/>
      <c r="T272" s="116"/>
      <c r="U272" s="116"/>
      <c r="V272" s="116"/>
      <c r="W272" s="116"/>
    </row>
    <row r="273" spans="1:23" ht="75">
      <c r="A273" s="10">
        <v>10</v>
      </c>
      <c r="B273" s="71" t="s">
        <v>195</v>
      </c>
      <c r="C273" s="85" t="s">
        <v>196</v>
      </c>
      <c r="D273" s="183" t="s">
        <v>149</v>
      </c>
      <c r="E273" s="186" t="s">
        <v>37</v>
      </c>
      <c r="F273" s="187"/>
      <c r="G273" s="183" t="s">
        <v>119</v>
      </c>
      <c r="H273" s="11">
        <f>SUM(H274:H275)</f>
        <v>79461243</v>
      </c>
      <c r="I273" s="72">
        <f t="shared" ref="I273:L273" si="101">SUM(I274:I275)</f>
        <v>0</v>
      </c>
      <c r="J273" s="72">
        <f t="shared" si="101"/>
        <v>10892500</v>
      </c>
      <c r="K273" s="72">
        <f t="shared" si="101"/>
        <v>22341493</v>
      </c>
      <c r="L273" s="72">
        <f t="shared" si="101"/>
        <v>13531250</v>
      </c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102">
        <f>11927585+34837658</f>
        <v>46765243</v>
      </c>
    </row>
    <row r="274" spans="1:23" ht="15">
      <c r="A274" s="176" t="s">
        <v>12</v>
      </c>
      <c r="B274" s="165"/>
      <c r="C274" s="166"/>
      <c r="D274" s="184"/>
      <c r="E274" s="188"/>
      <c r="F274" s="189"/>
      <c r="G274" s="184"/>
      <c r="H274" s="8"/>
      <c r="I274" s="70"/>
      <c r="J274" s="8"/>
      <c r="K274" s="8"/>
      <c r="L274" s="8"/>
      <c r="M274" s="8"/>
      <c r="N274" s="8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">
      <c r="A275" s="176" t="s">
        <v>11</v>
      </c>
      <c r="B275" s="165"/>
      <c r="C275" s="166"/>
      <c r="D275" s="184"/>
      <c r="E275" s="188"/>
      <c r="F275" s="189"/>
      <c r="G275" s="184"/>
      <c r="H275" s="8">
        <f>SUM(H276:H278)</f>
        <v>79461243</v>
      </c>
      <c r="I275" s="70">
        <f>SUM(I276:I278)</f>
        <v>0</v>
      </c>
      <c r="J275" s="70">
        <f t="shared" ref="J275:L275" si="102">SUM(J276:J278)</f>
        <v>10892500</v>
      </c>
      <c r="K275" s="70">
        <f t="shared" si="102"/>
        <v>22341493</v>
      </c>
      <c r="L275" s="70">
        <f t="shared" si="102"/>
        <v>13531250</v>
      </c>
      <c r="M275" s="8"/>
      <c r="N275" s="8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">
      <c r="A276" s="76"/>
      <c r="B276" s="162" t="s">
        <v>25</v>
      </c>
      <c r="C276" s="163"/>
      <c r="D276" s="184"/>
      <c r="E276" s="188"/>
      <c r="F276" s="189"/>
      <c r="G276" s="184"/>
      <c r="H276" s="8">
        <v>1616320</v>
      </c>
      <c r="I276" s="8"/>
      <c r="J276" s="8">
        <v>0</v>
      </c>
      <c r="K276" s="8">
        <v>0</v>
      </c>
      <c r="L276" s="8">
        <v>0</v>
      </c>
      <c r="M276" s="8"/>
      <c r="N276" s="8"/>
      <c r="O276" s="2"/>
      <c r="P276" s="2"/>
      <c r="Q276" s="2"/>
      <c r="R276" s="2"/>
      <c r="S276" s="2"/>
      <c r="T276" s="2"/>
      <c r="U276" s="2"/>
      <c r="V276" s="2"/>
      <c r="W276" s="2"/>
    </row>
    <row r="277" spans="1:23" s="68" customFormat="1" ht="15">
      <c r="A277" s="76"/>
      <c r="B277" s="162" t="s">
        <v>24</v>
      </c>
      <c r="C277" s="163"/>
      <c r="D277" s="184"/>
      <c r="E277" s="188"/>
      <c r="F277" s="189"/>
      <c r="G277" s="184"/>
      <c r="H277" s="70">
        <v>37043450</v>
      </c>
      <c r="I277" s="70"/>
      <c r="J277" s="70">
        <v>0</v>
      </c>
      <c r="K277" s="70">
        <v>16081250</v>
      </c>
      <c r="L277" s="70">
        <v>7281250</v>
      </c>
      <c r="M277" s="70"/>
      <c r="N277" s="70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">
      <c r="A278" s="28"/>
      <c r="B278" s="165" t="s">
        <v>157</v>
      </c>
      <c r="C278" s="166"/>
      <c r="D278" s="185"/>
      <c r="E278" s="192"/>
      <c r="F278" s="193"/>
      <c r="G278" s="185"/>
      <c r="H278" s="8">
        <v>40801473</v>
      </c>
      <c r="I278" s="8"/>
      <c r="J278" s="8">
        <v>10892500</v>
      </c>
      <c r="K278" s="70">
        <v>6260243</v>
      </c>
      <c r="L278" s="8">
        <v>6250000</v>
      </c>
      <c r="M278" s="8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s="68" customFormat="1" ht="75">
      <c r="A279" s="71">
        <v>11</v>
      </c>
      <c r="B279" s="71" t="s">
        <v>197</v>
      </c>
      <c r="C279" s="85" t="s">
        <v>192</v>
      </c>
      <c r="D279" s="183" t="s">
        <v>149</v>
      </c>
      <c r="E279" s="195" t="s">
        <v>146</v>
      </c>
      <c r="F279" s="196"/>
      <c r="G279" s="183" t="s">
        <v>119</v>
      </c>
      <c r="H279" s="72">
        <f>SUM(H280,H283)</f>
        <v>90882425</v>
      </c>
      <c r="I279" s="72">
        <f>SUM(I280,I283)</f>
        <v>45882425</v>
      </c>
      <c r="J279" s="72">
        <f>SUM(J280,J283)</f>
        <v>45000000</v>
      </c>
      <c r="K279" s="72"/>
      <c r="L279" s="72"/>
      <c r="M279" s="72"/>
      <c r="N279" s="72"/>
      <c r="O279" s="12"/>
      <c r="P279" s="12"/>
      <c r="Q279" s="12"/>
      <c r="R279" s="12"/>
      <c r="S279" s="12"/>
      <c r="T279" s="12"/>
      <c r="U279" s="12"/>
      <c r="V279" s="12"/>
      <c r="W279" s="100">
        <v>45000000</v>
      </c>
    </row>
    <row r="280" spans="1:23" s="68" customFormat="1" ht="15">
      <c r="A280" s="176" t="s">
        <v>12</v>
      </c>
      <c r="B280" s="165"/>
      <c r="C280" s="166"/>
      <c r="D280" s="184"/>
      <c r="E280" s="197"/>
      <c r="F280" s="198"/>
      <c r="G280" s="184"/>
      <c r="H280" s="70">
        <f>SUM(H281:H282)</f>
        <v>90882425</v>
      </c>
      <c r="I280" s="70">
        <f t="shared" ref="I280:J280" si="103">SUM(I281:I282)</f>
        <v>45882425</v>
      </c>
      <c r="J280" s="70">
        <f t="shared" si="103"/>
        <v>45000000</v>
      </c>
      <c r="K280" s="70"/>
      <c r="L280" s="70"/>
      <c r="M280" s="70"/>
      <c r="N280" s="70"/>
      <c r="O280" s="2"/>
      <c r="P280" s="2"/>
      <c r="Q280" s="2"/>
      <c r="R280" s="2"/>
      <c r="S280" s="2"/>
      <c r="T280" s="2"/>
      <c r="U280" s="2"/>
      <c r="V280" s="2"/>
      <c r="W280" s="2"/>
    </row>
    <row r="281" spans="1:23" s="68" customFormat="1" ht="15">
      <c r="A281" s="76"/>
      <c r="B281" s="162" t="s">
        <v>25</v>
      </c>
      <c r="C281" s="163"/>
      <c r="D281" s="184"/>
      <c r="E281" s="197"/>
      <c r="F281" s="198"/>
      <c r="G281" s="184"/>
      <c r="H281" s="70">
        <f>SUM(I281:J281)</f>
        <v>83870428</v>
      </c>
      <c r="I281" s="70">
        <v>38870428</v>
      </c>
      <c r="J281" s="70">
        <v>45000000</v>
      </c>
      <c r="K281" s="70"/>
      <c r="L281" s="70"/>
      <c r="M281" s="70"/>
      <c r="N281" s="70"/>
      <c r="O281" s="2"/>
      <c r="P281" s="2"/>
      <c r="Q281" s="2"/>
      <c r="R281" s="2"/>
      <c r="S281" s="2"/>
      <c r="T281" s="2"/>
      <c r="U281" s="2"/>
      <c r="V281" s="2"/>
      <c r="W281" s="2"/>
    </row>
    <row r="282" spans="1:23" s="68" customFormat="1" ht="15">
      <c r="A282" s="76"/>
      <c r="B282" s="165" t="s">
        <v>157</v>
      </c>
      <c r="C282" s="166"/>
      <c r="D282" s="184"/>
      <c r="E282" s="197"/>
      <c r="F282" s="198"/>
      <c r="G282" s="184"/>
      <c r="H282" s="70">
        <v>7011997</v>
      </c>
      <c r="I282" s="70">
        <v>7011997</v>
      </c>
      <c r="J282" s="70"/>
      <c r="K282" s="70"/>
      <c r="L282" s="70"/>
      <c r="M282" s="70"/>
      <c r="N282" s="70"/>
      <c r="O282" s="2"/>
      <c r="P282" s="2"/>
      <c r="Q282" s="2"/>
      <c r="R282" s="2"/>
      <c r="S282" s="2"/>
      <c r="T282" s="2"/>
      <c r="U282" s="2"/>
      <c r="V282" s="2"/>
      <c r="W282" s="2"/>
    </row>
    <row r="283" spans="1:23" s="68" customFormat="1" ht="15">
      <c r="A283" s="176" t="s">
        <v>4</v>
      </c>
      <c r="B283" s="165"/>
      <c r="C283" s="166"/>
      <c r="D283" s="185"/>
      <c r="E283" s="199"/>
      <c r="F283" s="200"/>
      <c r="G283" s="185"/>
      <c r="H283" s="70"/>
      <c r="I283" s="70"/>
      <c r="J283" s="70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s="22" customFormat="1" ht="60">
      <c r="A284" s="85">
        <v>12</v>
      </c>
      <c r="B284" s="113" t="s">
        <v>273</v>
      </c>
      <c r="C284" s="113" t="s">
        <v>274</v>
      </c>
      <c r="D284" s="264" t="s">
        <v>149</v>
      </c>
      <c r="E284" s="147" t="s">
        <v>275</v>
      </c>
      <c r="F284" s="196"/>
      <c r="G284" s="264" t="s">
        <v>276</v>
      </c>
      <c r="H284" s="83">
        <f>SUM(H285,H287)</f>
        <v>750000</v>
      </c>
      <c r="I284" s="83">
        <f t="shared" ref="I284:J284" si="104">SUM(I285,I287)</f>
        <v>500000</v>
      </c>
      <c r="J284" s="83">
        <f t="shared" si="104"/>
        <v>250000</v>
      </c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02">
        <v>250000</v>
      </c>
    </row>
    <row r="285" spans="1:23" s="22" customFormat="1" ht="15">
      <c r="A285" s="137" t="s">
        <v>12</v>
      </c>
      <c r="B285" s="138"/>
      <c r="C285" s="139"/>
      <c r="D285" s="145"/>
      <c r="E285" s="197"/>
      <c r="F285" s="198"/>
      <c r="G285" s="145"/>
      <c r="H285" s="74">
        <f>H286</f>
        <v>750000</v>
      </c>
      <c r="I285" s="74">
        <f t="shared" ref="I285:J285" si="105">I286</f>
        <v>500000</v>
      </c>
      <c r="J285" s="74">
        <f t="shared" si="105"/>
        <v>250000</v>
      </c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</row>
    <row r="286" spans="1:23" s="22" customFormat="1" ht="15">
      <c r="A286" s="112"/>
      <c r="B286" s="140" t="s">
        <v>25</v>
      </c>
      <c r="C286" s="141"/>
      <c r="D286" s="145"/>
      <c r="E286" s="197"/>
      <c r="F286" s="198"/>
      <c r="G286" s="145"/>
      <c r="H286" s="74">
        <v>750000</v>
      </c>
      <c r="I286" s="74">
        <v>500000</v>
      </c>
      <c r="J286" s="74">
        <v>250000</v>
      </c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</row>
    <row r="287" spans="1:23" s="22" customFormat="1" ht="15">
      <c r="A287" s="137" t="s">
        <v>4</v>
      </c>
      <c r="B287" s="138"/>
      <c r="C287" s="139"/>
      <c r="D287" s="146"/>
      <c r="E287" s="199"/>
      <c r="F287" s="200"/>
      <c r="G287" s="146"/>
      <c r="H287" s="74"/>
      <c r="I287" s="74"/>
      <c r="J287" s="74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</row>
    <row r="288" spans="1:23" ht="45">
      <c r="A288" s="10">
        <v>13</v>
      </c>
      <c r="B288" s="105" t="s">
        <v>295</v>
      </c>
      <c r="C288" s="10" t="s">
        <v>56</v>
      </c>
      <c r="D288" s="183" t="s">
        <v>183</v>
      </c>
      <c r="E288" s="186" t="s">
        <v>29</v>
      </c>
      <c r="F288" s="187"/>
      <c r="G288" s="183" t="s">
        <v>120</v>
      </c>
      <c r="H288" s="11">
        <f>SUM(H289,H291)</f>
        <v>26203949</v>
      </c>
      <c r="I288" s="72">
        <f t="shared" ref="I288:J288" si="106">SUM(I289,I291)</f>
        <v>6771952</v>
      </c>
      <c r="J288" s="72">
        <f t="shared" si="106"/>
        <v>7105498</v>
      </c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00">
        <f>137402+6910430</f>
        <v>7047832</v>
      </c>
    </row>
    <row r="289" spans="1:23" ht="15">
      <c r="A289" s="176" t="s">
        <v>12</v>
      </c>
      <c r="B289" s="165"/>
      <c r="C289" s="166"/>
      <c r="D289" s="184"/>
      <c r="E289" s="188"/>
      <c r="F289" s="189"/>
      <c r="G289" s="184"/>
      <c r="H289" s="8">
        <f>H290</f>
        <v>26203949</v>
      </c>
      <c r="I289" s="70">
        <f t="shared" ref="I289:J289" si="107">I290</f>
        <v>6771952</v>
      </c>
      <c r="J289" s="70">
        <f t="shared" si="107"/>
        <v>7105498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">
      <c r="A290" s="28"/>
      <c r="B290" s="162" t="s">
        <v>25</v>
      </c>
      <c r="C290" s="163"/>
      <c r="D290" s="184"/>
      <c r="E290" s="188"/>
      <c r="F290" s="189"/>
      <c r="G290" s="184"/>
      <c r="H290" s="8">
        <v>26203949</v>
      </c>
      <c r="I290" s="8">
        <v>6771952</v>
      </c>
      <c r="J290" s="8">
        <v>7105498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">
      <c r="A291" s="176" t="s">
        <v>4</v>
      </c>
      <c r="B291" s="165"/>
      <c r="C291" s="166"/>
      <c r="D291" s="185"/>
      <c r="E291" s="192"/>
      <c r="F291" s="193"/>
      <c r="G291" s="185"/>
      <c r="H291" s="8"/>
      <c r="I291" s="8"/>
      <c r="J291" s="8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20">
      <c r="A292" s="10">
        <v>14</v>
      </c>
      <c r="B292" s="10" t="s">
        <v>58</v>
      </c>
      <c r="C292" s="71" t="s">
        <v>57</v>
      </c>
      <c r="D292" s="183" t="s">
        <v>183</v>
      </c>
      <c r="E292" s="186" t="s">
        <v>150</v>
      </c>
      <c r="F292" s="187"/>
      <c r="G292" s="183" t="s">
        <v>120</v>
      </c>
      <c r="H292" s="11">
        <f>SUM(H293:H294)</f>
        <v>48000000</v>
      </c>
      <c r="I292" s="72">
        <f t="shared" ref="I292:O292" si="108">SUM(I293:I294)</f>
        <v>8000000</v>
      </c>
      <c r="J292" s="72">
        <f t="shared" si="108"/>
        <v>0</v>
      </c>
      <c r="K292" s="72">
        <f t="shared" si="108"/>
        <v>0</v>
      </c>
      <c r="L292" s="72">
        <f t="shared" si="108"/>
        <v>5000000</v>
      </c>
      <c r="M292" s="72">
        <f t="shared" si="108"/>
        <v>10000000</v>
      </c>
      <c r="N292" s="72">
        <f t="shared" si="108"/>
        <v>10000000</v>
      </c>
      <c r="O292" s="72">
        <f t="shared" si="108"/>
        <v>15000000</v>
      </c>
      <c r="P292" s="12"/>
      <c r="Q292" s="12"/>
      <c r="R292" s="12"/>
      <c r="S292" s="12"/>
      <c r="T292" s="12"/>
      <c r="U292" s="12"/>
      <c r="V292" s="12"/>
      <c r="W292" s="100">
        <v>0</v>
      </c>
    </row>
    <row r="293" spans="1:23" ht="15">
      <c r="A293" s="176" t="s">
        <v>3</v>
      </c>
      <c r="B293" s="165"/>
      <c r="C293" s="166"/>
      <c r="D293" s="184"/>
      <c r="E293" s="188"/>
      <c r="F293" s="189"/>
      <c r="G293" s="184"/>
      <c r="H293" s="8"/>
      <c r="I293" s="8"/>
      <c r="J293" s="8"/>
      <c r="K293" s="8"/>
      <c r="L293" s="8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">
      <c r="A294" s="176" t="s">
        <v>11</v>
      </c>
      <c r="B294" s="165"/>
      <c r="C294" s="166"/>
      <c r="D294" s="184"/>
      <c r="E294" s="188"/>
      <c r="F294" s="189"/>
      <c r="G294" s="184"/>
      <c r="H294" s="8">
        <f>SUM(H295:H296)</f>
        <v>48000000</v>
      </c>
      <c r="I294" s="70">
        <f t="shared" ref="I294:O294" si="109">SUM(I295:I296)</f>
        <v>8000000</v>
      </c>
      <c r="J294" s="70">
        <f t="shared" si="109"/>
        <v>0</v>
      </c>
      <c r="K294" s="70">
        <f t="shared" si="109"/>
        <v>0</v>
      </c>
      <c r="L294" s="70">
        <f t="shared" si="109"/>
        <v>5000000</v>
      </c>
      <c r="M294" s="70">
        <f t="shared" si="109"/>
        <v>10000000</v>
      </c>
      <c r="N294" s="70">
        <f t="shared" si="109"/>
        <v>10000000</v>
      </c>
      <c r="O294" s="70">
        <f t="shared" si="109"/>
        <v>15000000</v>
      </c>
      <c r="P294" s="2"/>
      <c r="Q294" s="2"/>
      <c r="R294" s="2"/>
      <c r="S294" s="2"/>
      <c r="T294" s="2"/>
      <c r="U294" s="2"/>
      <c r="V294" s="2"/>
      <c r="W294" s="2"/>
    </row>
    <row r="295" spans="1:23" ht="15">
      <c r="A295" s="28"/>
      <c r="B295" s="162" t="s">
        <v>25</v>
      </c>
      <c r="C295" s="163"/>
      <c r="D295" s="184"/>
      <c r="E295" s="188"/>
      <c r="F295" s="189"/>
      <c r="G295" s="184"/>
      <c r="H295" s="8">
        <v>40000000</v>
      </c>
      <c r="I295" s="8"/>
      <c r="J295" s="8"/>
      <c r="K295" s="8"/>
      <c r="L295" s="8">
        <v>5000000</v>
      </c>
      <c r="M295" s="8">
        <v>10000000</v>
      </c>
      <c r="N295" s="70">
        <v>10000000</v>
      </c>
      <c r="O295" s="70">
        <v>15000000</v>
      </c>
      <c r="P295" s="2"/>
      <c r="Q295" s="2"/>
      <c r="R295" s="2"/>
      <c r="S295" s="2"/>
      <c r="T295" s="2"/>
      <c r="U295" s="2"/>
      <c r="V295" s="2"/>
      <c r="W295" s="2"/>
    </row>
    <row r="296" spans="1:23" ht="15">
      <c r="A296" s="28"/>
      <c r="B296" s="162" t="s">
        <v>26</v>
      </c>
      <c r="C296" s="163"/>
      <c r="D296" s="185"/>
      <c r="E296" s="192"/>
      <c r="F296" s="193"/>
      <c r="G296" s="185"/>
      <c r="H296" s="8">
        <v>8000000</v>
      </c>
      <c r="I296" s="8">
        <v>8000000</v>
      </c>
      <c r="J296" s="8"/>
      <c r="K296" s="8"/>
      <c r="L296" s="8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s="22" customFormat="1" ht="30">
      <c r="A297" s="85">
        <v>15</v>
      </c>
      <c r="B297" s="113" t="s">
        <v>14</v>
      </c>
      <c r="C297" s="85" t="s">
        <v>14</v>
      </c>
      <c r="D297" s="144" t="s">
        <v>183</v>
      </c>
      <c r="E297" s="195" t="s">
        <v>29</v>
      </c>
      <c r="F297" s="196"/>
      <c r="G297" s="144" t="s">
        <v>120</v>
      </c>
      <c r="H297" s="83">
        <f>SUM(H298,H300)</f>
        <v>56691296</v>
      </c>
      <c r="I297" s="83">
        <f>SUM(I298,I300)</f>
        <v>13626336</v>
      </c>
      <c r="J297" s="83">
        <f>SUM(J298,J300)</f>
        <v>12812414</v>
      </c>
      <c r="K297" s="83">
        <f t="shared" ref="K297:L297" si="110">SUM(K298,K300)</f>
        <v>6180000</v>
      </c>
      <c r="L297" s="83">
        <f t="shared" si="110"/>
        <v>6365000</v>
      </c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02">
        <f>4022487+3012513+11510000</f>
        <v>18545000</v>
      </c>
    </row>
    <row r="298" spans="1:23" s="22" customFormat="1" ht="15">
      <c r="A298" s="137" t="s">
        <v>12</v>
      </c>
      <c r="B298" s="138"/>
      <c r="C298" s="139"/>
      <c r="D298" s="145"/>
      <c r="E298" s="197"/>
      <c r="F298" s="198"/>
      <c r="G298" s="145"/>
      <c r="H298" s="74">
        <f>H299</f>
        <v>56691296</v>
      </c>
      <c r="I298" s="74">
        <f>SUM(I299:I299)</f>
        <v>13626336</v>
      </c>
      <c r="J298" s="74">
        <f>SUM(J299:J299)</f>
        <v>12812414</v>
      </c>
      <c r="K298" s="74">
        <f t="shared" ref="K298:L298" si="111">SUM(K299:K299)</f>
        <v>6180000</v>
      </c>
      <c r="L298" s="74">
        <f t="shared" si="111"/>
        <v>6365000</v>
      </c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</row>
    <row r="299" spans="1:23" s="22" customFormat="1" ht="15">
      <c r="A299" s="112"/>
      <c r="B299" s="142" t="s">
        <v>25</v>
      </c>
      <c r="C299" s="143"/>
      <c r="D299" s="145"/>
      <c r="E299" s="197"/>
      <c r="F299" s="198"/>
      <c r="G299" s="145"/>
      <c r="H299" s="74">
        <v>56691296</v>
      </c>
      <c r="I299" s="74">
        <v>13626336</v>
      </c>
      <c r="J299" s="74">
        <v>12812414</v>
      </c>
      <c r="K299" s="74">
        <v>6180000</v>
      </c>
      <c r="L299" s="74">
        <v>6365000</v>
      </c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</row>
    <row r="300" spans="1:23" s="22" customFormat="1" ht="15">
      <c r="A300" s="205" t="s">
        <v>4</v>
      </c>
      <c r="B300" s="206"/>
      <c r="C300" s="207"/>
      <c r="D300" s="146"/>
      <c r="E300" s="199"/>
      <c r="F300" s="200"/>
      <c r="G300" s="146"/>
      <c r="H300" s="74"/>
      <c r="I300" s="74"/>
      <c r="J300" s="74"/>
      <c r="K300" s="74"/>
      <c r="L300" s="74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</row>
    <row r="301" spans="1:23" s="22" customFormat="1" ht="45">
      <c r="A301" s="85">
        <v>16</v>
      </c>
      <c r="B301" s="113" t="s">
        <v>145</v>
      </c>
      <c r="C301" s="85" t="s">
        <v>145</v>
      </c>
      <c r="D301" s="144" t="s">
        <v>183</v>
      </c>
      <c r="E301" s="195" t="s">
        <v>146</v>
      </c>
      <c r="F301" s="196"/>
      <c r="G301" s="144" t="s">
        <v>120</v>
      </c>
      <c r="H301" s="83">
        <f>SUM(H302,H304)</f>
        <v>176000</v>
      </c>
      <c r="I301" s="83">
        <f t="shared" ref="I301:J301" si="112">SUM(I302,I304)</f>
        <v>87000</v>
      </c>
      <c r="J301" s="83">
        <f t="shared" si="112"/>
        <v>89000</v>
      </c>
      <c r="K301" s="83"/>
      <c r="L301" s="83"/>
      <c r="M301" s="127"/>
      <c r="N301" s="127"/>
      <c r="O301" s="127"/>
      <c r="P301" s="127"/>
      <c r="Q301" s="127"/>
      <c r="R301" s="127"/>
      <c r="S301" s="127"/>
      <c r="T301" s="127"/>
      <c r="U301" s="127"/>
      <c r="V301" s="127"/>
      <c r="W301" s="102">
        <f>600000-374088-211000</f>
        <v>14912</v>
      </c>
    </row>
    <row r="302" spans="1:23" s="22" customFormat="1" ht="15">
      <c r="A302" s="137" t="s">
        <v>12</v>
      </c>
      <c r="B302" s="138"/>
      <c r="C302" s="139"/>
      <c r="D302" s="145"/>
      <c r="E302" s="197"/>
      <c r="F302" s="198"/>
      <c r="G302" s="145"/>
      <c r="H302" s="74">
        <f>SUM(H303)</f>
        <v>176000</v>
      </c>
      <c r="I302" s="74">
        <f t="shared" ref="I302:J302" si="113">SUM(I303)</f>
        <v>87000</v>
      </c>
      <c r="J302" s="74">
        <f t="shared" si="113"/>
        <v>89000</v>
      </c>
      <c r="K302" s="74"/>
      <c r="L302" s="74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</row>
    <row r="303" spans="1:23" s="22" customFormat="1" ht="15">
      <c r="A303" s="112"/>
      <c r="B303" s="142" t="s">
        <v>25</v>
      </c>
      <c r="C303" s="143"/>
      <c r="D303" s="145"/>
      <c r="E303" s="197"/>
      <c r="F303" s="198"/>
      <c r="G303" s="145"/>
      <c r="H303" s="74">
        <v>176000</v>
      </c>
      <c r="I303" s="74">
        <v>87000</v>
      </c>
      <c r="J303" s="74">
        <v>89000</v>
      </c>
      <c r="K303" s="74"/>
      <c r="L303" s="74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</row>
    <row r="304" spans="1:23" s="22" customFormat="1" ht="15">
      <c r="A304" s="205" t="s">
        <v>4</v>
      </c>
      <c r="B304" s="206"/>
      <c r="C304" s="207"/>
      <c r="D304" s="146"/>
      <c r="E304" s="199"/>
      <c r="F304" s="200"/>
      <c r="G304" s="146"/>
      <c r="H304" s="74"/>
      <c r="I304" s="74"/>
      <c r="J304" s="74"/>
      <c r="K304" s="74"/>
      <c r="L304" s="74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</row>
    <row r="305" spans="1:23" s="68" customFormat="1" ht="60">
      <c r="A305" s="29">
        <v>17</v>
      </c>
      <c r="B305" s="71" t="s">
        <v>193</v>
      </c>
      <c r="C305" s="71" t="s">
        <v>163</v>
      </c>
      <c r="D305" s="183" t="s">
        <v>183</v>
      </c>
      <c r="E305" s="186" t="s">
        <v>146</v>
      </c>
      <c r="F305" s="187"/>
      <c r="G305" s="190" t="s">
        <v>120</v>
      </c>
      <c r="H305" s="9">
        <f t="shared" ref="H305:J305" si="114">SUM(H306:H307)</f>
        <v>500000</v>
      </c>
      <c r="I305" s="9">
        <f t="shared" si="114"/>
        <v>200000</v>
      </c>
      <c r="J305" s="9">
        <f t="shared" si="114"/>
        <v>300000</v>
      </c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80">
        <v>300000</v>
      </c>
    </row>
    <row r="306" spans="1:23" s="68" customFormat="1" ht="15" customHeight="1">
      <c r="A306" s="179" t="s">
        <v>3</v>
      </c>
      <c r="B306" s="180"/>
      <c r="C306" s="181"/>
      <c r="D306" s="184"/>
      <c r="E306" s="188"/>
      <c r="F306" s="189"/>
      <c r="G306" s="191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5"/>
    </row>
    <row r="307" spans="1:23" s="68" customFormat="1" ht="15">
      <c r="A307" s="179" t="s">
        <v>11</v>
      </c>
      <c r="B307" s="180"/>
      <c r="C307" s="181"/>
      <c r="D307" s="184"/>
      <c r="E307" s="188"/>
      <c r="F307" s="189"/>
      <c r="G307" s="191"/>
      <c r="H307" s="70">
        <f>SUM(H308:H308)</f>
        <v>500000</v>
      </c>
      <c r="I307" s="70">
        <f>SUM(I308:I308)</f>
        <v>200000</v>
      </c>
      <c r="J307" s="70">
        <f>SUM(J308:J308)</f>
        <v>300000</v>
      </c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5"/>
    </row>
    <row r="308" spans="1:23" s="68" customFormat="1" ht="15">
      <c r="A308" s="76"/>
      <c r="B308" s="162" t="s">
        <v>25</v>
      </c>
      <c r="C308" s="163"/>
      <c r="D308" s="184"/>
      <c r="E308" s="188"/>
      <c r="F308" s="189"/>
      <c r="G308" s="191"/>
      <c r="H308" s="3">
        <v>500000</v>
      </c>
      <c r="I308" s="70">
        <v>200000</v>
      </c>
      <c r="J308" s="70">
        <v>300000</v>
      </c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5"/>
    </row>
    <row r="309" spans="1:23" s="68" customFormat="1" ht="60">
      <c r="A309" s="29">
        <v>18</v>
      </c>
      <c r="B309" s="71" t="s">
        <v>194</v>
      </c>
      <c r="C309" s="71" t="s">
        <v>163</v>
      </c>
      <c r="D309" s="183" t="s">
        <v>183</v>
      </c>
      <c r="E309" s="186" t="s">
        <v>172</v>
      </c>
      <c r="F309" s="187"/>
      <c r="G309" s="190" t="s">
        <v>120</v>
      </c>
      <c r="H309" s="9">
        <f t="shared" ref="H309:K309" si="115">SUM(H310:H311)</f>
        <v>2230000</v>
      </c>
      <c r="I309" s="9">
        <f t="shared" si="115"/>
        <v>1010000</v>
      </c>
      <c r="J309" s="9">
        <f t="shared" si="115"/>
        <v>730000</v>
      </c>
      <c r="K309" s="9">
        <f t="shared" si="115"/>
        <v>490000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80">
        <v>1220000</v>
      </c>
    </row>
    <row r="310" spans="1:23" s="68" customFormat="1" ht="15" customHeight="1">
      <c r="A310" s="179" t="s">
        <v>3</v>
      </c>
      <c r="B310" s="180"/>
      <c r="C310" s="181"/>
      <c r="D310" s="184"/>
      <c r="E310" s="188"/>
      <c r="F310" s="189"/>
      <c r="G310" s="191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5"/>
    </row>
    <row r="311" spans="1:23" s="68" customFormat="1" ht="15">
      <c r="A311" s="179" t="s">
        <v>11</v>
      </c>
      <c r="B311" s="180"/>
      <c r="C311" s="181"/>
      <c r="D311" s="184"/>
      <c r="E311" s="188"/>
      <c r="F311" s="189"/>
      <c r="G311" s="191"/>
      <c r="H311" s="70">
        <f>SUM(H312:H312)</f>
        <v>2230000</v>
      </c>
      <c r="I311" s="70">
        <f>SUM(I312:I312)</f>
        <v>1010000</v>
      </c>
      <c r="J311" s="70">
        <f>SUM(J312:J312)</f>
        <v>730000</v>
      </c>
      <c r="K311" s="70">
        <f>SUM(K312:K312)</f>
        <v>490000</v>
      </c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5"/>
    </row>
    <row r="312" spans="1:23" s="68" customFormat="1" ht="15">
      <c r="A312" s="76"/>
      <c r="B312" s="162" t="s">
        <v>25</v>
      </c>
      <c r="C312" s="163"/>
      <c r="D312" s="184"/>
      <c r="E312" s="188"/>
      <c r="F312" s="189"/>
      <c r="G312" s="191"/>
      <c r="H312" s="3">
        <v>2230000</v>
      </c>
      <c r="I312" s="70">
        <v>1010000</v>
      </c>
      <c r="J312" s="70">
        <v>730000</v>
      </c>
      <c r="K312" s="70">
        <v>490000</v>
      </c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5"/>
    </row>
    <row r="313" spans="1:23" s="68" customFormat="1" ht="111.75" customHeight="1">
      <c r="A313" s="71">
        <v>19</v>
      </c>
      <c r="B313" s="71" t="s">
        <v>154</v>
      </c>
      <c r="C313" s="71" t="s">
        <v>155</v>
      </c>
      <c r="D313" s="183" t="s">
        <v>187</v>
      </c>
      <c r="E313" s="186" t="s">
        <v>34</v>
      </c>
      <c r="F313" s="187"/>
      <c r="G313" s="183" t="s">
        <v>156</v>
      </c>
      <c r="H313" s="72">
        <f>SUM(H314,H316)</f>
        <v>1400000</v>
      </c>
      <c r="I313" s="72">
        <f t="shared" ref="I313:J313" si="116">SUM(I314,I316)</f>
        <v>700000</v>
      </c>
      <c r="J313" s="72">
        <f t="shared" si="116"/>
        <v>600000</v>
      </c>
      <c r="K313" s="72"/>
      <c r="L313" s="7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00">
        <f>1300000-1300000</f>
        <v>0</v>
      </c>
    </row>
    <row r="314" spans="1:23" s="68" customFormat="1" ht="15">
      <c r="A314" s="176" t="s">
        <v>12</v>
      </c>
      <c r="B314" s="165"/>
      <c r="C314" s="166"/>
      <c r="D314" s="184"/>
      <c r="E314" s="188"/>
      <c r="F314" s="189"/>
      <c r="G314" s="184"/>
      <c r="H314" s="70">
        <f>H315</f>
        <v>1400000</v>
      </c>
      <c r="I314" s="70">
        <f t="shared" ref="I314:J314" si="117">I315</f>
        <v>700000</v>
      </c>
      <c r="J314" s="70">
        <f t="shared" si="117"/>
        <v>600000</v>
      </c>
      <c r="K314" s="70"/>
      <c r="L314" s="7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s="68" customFormat="1" ht="15">
      <c r="A315" s="76"/>
      <c r="B315" s="177" t="s">
        <v>25</v>
      </c>
      <c r="C315" s="178"/>
      <c r="D315" s="184"/>
      <c r="E315" s="188"/>
      <c r="F315" s="189"/>
      <c r="G315" s="184"/>
      <c r="H315" s="70">
        <v>1400000</v>
      </c>
      <c r="I315" s="70">
        <v>700000</v>
      </c>
      <c r="J315" s="70">
        <v>600000</v>
      </c>
      <c r="K315" s="70"/>
      <c r="L315" s="7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s="68" customFormat="1" ht="15">
      <c r="A316" s="179" t="s">
        <v>4</v>
      </c>
      <c r="B316" s="180"/>
      <c r="C316" s="181"/>
      <c r="D316" s="185"/>
      <c r="E316" s="192"/>
      <c r="F316" s="193"/>
      <c r="G316" s="185"/>
      <c r="H316" s="70"/>
      <c r="I316" s="70"/>
      <c r="J316" s="70"/>
      <c r="K316" s="70"/>
      <c r="L316" s="7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s="22" customFormat="1" ht="108" customHeight="1">
      <c r="A317" s="85">
        <v>20</v>
      </c>
      <c r="B317" s="85" t="s">
        <v>80</v>
      </c>
      <c r="C317" s="85" t="s">
        <v>79</v>
      </c>
      <c r="D317" s="144" t="s">
        <v>149</v>
      </c>
      <c r="E317" s="195" t="s">
        <v>37</v>
      </c>
      <c r="F317" s="196"/>
      <c r="G317" s="144" t="s">
        <v>123</v>
      </c>
      <c r="H317" s="83">
        <f>SUM(H318,H320)</f>
        <v>129265930</v>
      </c>
      <c r="I317" s="83">
        <f>SUM(I318,I320)</f>
        <v>21500000</v>
      </c>
      <c r="J317" s="83">
        <f t="shared" ref="J317:L317" si="118">SUM(J318,J320)</f>
        <v>23000000</v>
      </c>
      <c r="K317" s="83">
        <f t="shared" si="118"/>
        <v>16002161</v>
      </c>
      <c r="L317" s="83">
        <f t="shared" si="118"/>
        <v>10940091</v>
      </c>
      <c r="M317" s="127"/>
      <c r="N317" s="127"/>
      <c r="O317" s="127"/>
      <c r="P317" s="127"/>
      <c r="Q317" s="127"/>
      <c r="R317" s="127"/>
      <c r="S317" s="127"/>
      <c r="T317" s="127"/>
      <c r="U317" s="127"/>
      <c r="V317" s="127"/>
      <c r="W317" s="102">
        <v>49942252</v>
      </c>
    </row>
    <row r="318" spans="1:23" s="22" customFormat="1" ht="15">
      <c r="A318" s="137" t="s">
        <v>12</v>
      </c>
      <c r="B318" s="138"/>
      <c r="C318" s="139"/>
      <c r="D318" s="145"/>
      <c r="E318" s="197"/>
      <c r="F318" s="198"/>
      <c r="G318" s="145"/>
      <c r="H318" s="74">
        <f>H319</f>
        <v>119291940</v>
      </c>
      <c r="I318" s="74">
        <f t="shared" ref="I318:L318" si="119">I319</f>
        <v>20800000</v>
      </c>
      <c r="J318" s="74">
        <f t="shared" si="119"/>
        <v>22000000</v>
      </c>
      <c r="K318" s="74">
        <f t="shared" si="119"/>
        <v>15481160</v>
      </c>
      <c r="L318" s="74">
        <f t="shared" si="119"/>
        <v>10400594</v>
      </c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</row>
    <row r="319" spans="1:23" s="22" customFormat="1" ht="15">
      <c r="A319" s="112"/>
      <c r="B319" s="140" t="s">
        <v>24</v>
      </c>
      <c r="C319" s="141"/>
      <c r="D319" s="145"/>
      <c r="E319" s="197"/>
      <c r="F319" s="198"/>
      <c r="G319" s="145"/>
      <c r="H319" s="74">
        <f>119291940</f>
        <v>119291940</v>
      </c>
      <c r="I319" s="74">
        <v>20800000</v>
      </c>
      <c r="J319" s="74">
        <f>15481161+6518839</f>
        <v>22000000</v>
      </c>
      <c r="K319" s="74">
        <v>15481160</v>
      </c>
      <c r="L319" s="74">
        <f>15481160-5080566</f>
        <v>10400594</v>
      </c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</row>
    <row r="320" spans="1:23" s="22" customFormat="1" ht="15">
      <c r="A320" s="137" t="s">
        <v>11</v>
      </c>
      <c r="B320" s="138"/>
      <c r="C320" s="139"/>
      <c r="D320" s="145"/>
      <c r="E320" s="197"/>
      <c r="F320" s="198"/>
      <c r="G320" s="145"/>
      <c r="H320" s="74">
        <f>H321</f>
        <v>9973990</v>
      </c>
      <c r="I320" s="74">
        <f t="shared" ref="I320:L320" si="120">I321</f>
        <v>700000</v>
      </c>
      <c r="J320" s="74">
        <f t="shared" si="120"/>
        <v>1000000</v>
      </c>
      <c r="K320" s="74">
        <f t="shared" si="120"/>
        <v>521001</v>
      </c>
      <c r="L320" s="74">
        <f t="shared" si="120"/>
        <v>539497</v>
      </c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</row>
    <row r="321" spans="1:23" s="22" customFormat="1" ht="15">
      <c r="A321" s="112"/>
      <c r="B321" s="140" t="s">
        <v>24</v>
      </c>
      <c r="C321" s="141"/>
      <c r="D321" s="146"/>
      <c r="E321" s="199"/>
      <c r="F321" s="200"/>
      <c r="G321" s="146"/>
      <c r="H321" s="74">
        <f>9973990</f>
        <v>9973990</v>
      </c>
      <c r="I321" s="74">
        <v>700000</v>
      </c>
      <c r="J321" s="74">
        <f>521001+478999</f>
        <v>1000000</v>
      </c>
      <c r="K321" s="74">
        <v>521001</v>
      </c>
      <c r="L321" s="74">
        <f>521001+18496</f>
        <v>539497</v>
      </c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</row>
    <row r="322" spans="1:23" s="22" customFormat="1" ht="105">
      <c r="A322" s="85">
        <v>21</v>
      </c>
      <c r="B322" s="85" t="s">
        <v>84</v>
      </c>
      <c r="C322" s="85" t="s">
        <v>85</v>
      </c>
      <c r="D322" s="202" t="s">
        <v>149</v>
      </c>
      <c r="E322" s="195" t="s">
        <v>36</v>
      </c>
      <c r="F322" s="196"/>
      <c r="G322" s="144" t="s">
        <v>125</v>
      </c>
      <c r="H322" s="83">
        <f>SUM(H323,H325)</f>
        <v>23961500</v>
      </c>
      <c r="I322" s="83">
        <f t="shared" ref="I322:K322" si="121">SUM(I323,I325)</f>
        <v>7500000</v>
      </c>
      <c r="J322" s="83">
        <f t="shared" si="121"/>
        <v>6000000</v>
      </c>
      <c r="K322" s="83">
        <f t="shared" si="121"/>
        <v>6000000</v>
      </c>
      <c r="L322" s="83"/>
      <c r="M322" s="127"/>
      <c r="N322" s="127"/>
      <c r="O322" s="127"/>
      <c r="P322" s="127"/>
      <c r="Q322" s="127"/>
      <c r="R322" s="127"/>
      <c r="S322" s="127"/>
      <c r="T322" s="127"/>
      <c r="U322" s="127"/>
      <c r="V322" s="127"/>
      <c r="W322" s="102">
        <f>18000000-18000000</f>
        <v>0</v>
      </c>
    </row>
    <row r="323" spans="1:23" s="22" customFormat="1" ht="15">
      <c r="A323" s="263" t="s">
        <v>12</v>
      </c>
      <c r="B323" s="138"/>
      <c r="C323" s="139"/>
      <c r="D323" s="203"/>
      <c r="E323" s="197"/>
      <c r="F323" s="198"/>
      <c r="G323" s="145"/>
      <c r="H323" s="74">
        <f>H324</f>
        <v>23961500</v>
      </c>
      <c r="I323" s="74">
        <f t="shared" ref="I323:K323" si="122">I324</f>
        <v>7500000</v>
      </c>
      <c r="J323" s="74">
        <f t="shared" si="122"/>
        <v>6000000</v>
      </c>
      <c r="K323" s="74">
        <f t="shared" si="122"/>
        <v>6000000</v>
      </c>
      <c r="L323" s="74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</row>
    <row r="324" spans="1:23" s="22" customFormat="1" ht="15">
      <c r="A324" s="130"/>
      <c r="B324" s="140" t="s">
        <v>25</v>
      </c>
      <c r="C324" s="141"/>
      <c r="D324" s="203"/>
      <c r="E324" s="197"/>
      <c r="F324" s="198"/>
      <c r="G324" s="145"/>
      <c r="H324" s="74">
        <f>24000000-38500</f>
        <v>23961500</v>
      </c>
      <c r="I324" s="74">
        <v>7500000</v>
      </c>
      <c r="J324" s="74">
        <v>6000000</v>
      </c>
      <c r="K324" s="74">
        <v>6000000</v>
      </c>
      <c r="L324" s="74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</row>
    <row r="325" spans="1:23" s="22" customFormat="1" ht="15">
      <c r="A325" s="201" t="s">
        <v>4</v>
      </c>
      <c r="B325" s="138"/>
      <c r="C325" s="139"/>
      <c r="D325" s="204"/>
      <c r="E325" s="199"/>
      <c r="F325" s="200"/>
      <c r="G325" s="146"/>
      <c r="H325" s="74"/>
      <c r="I325" s="74"/>
      <c r="J325" s="74"/>
      <c r="K325" s="74"/>
      <c r="L325" s="74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</row>
    <row r="326" spans="1:23" s="22" customFormat="1" ht="111.75" customHeight="1">
      <c r="A326" s="85">
        <v>22</v>
      </c>
      <c r="B326" s="113" t="s">
        <v>284</v>
      </c>
      <c r="C326" s="113" t="s">
        <v>85</v>
      </c>
      <c r="D326" s="264" t="s">
        <v>149</v>
      </c>
      <c r="E326" s="147" t="s">
        <v>277</v>
      </c>
      <c r="F326" s="196"/>
      <c r="G326" s="264" t="s">
        <v>125</v>
      </c>
      <c r="H326" s="83">
        <f>SUM(H327,H329)</f>
        <v>13300000</v>
      </c>
      <c r="I326" s="83">
        <f t="shared" ref="I326:N326" si="123">SUM(I327,I329)</f>
        <v>3100000</v>
      </c>
      <c r="J326" s="83">
        <f>SUM(J327,J329)</f>
        <v>2700000</v>
      </c>
      <c r="K326" s="83">
        <f t="shared" si="123"/>
        <v>2000000</v>
      </c>
      <c r="L326" s="83">
        <f t="shared" si="123"/>
        <v>2000000</v>
      </c>
      <c r="M326" s="83">
        <f t="shared" si="123"/>
        <v>2000000</v>
      </c>
      <c r="N326" s="83">
        <f t="shared" si="123"/>
        <v>1500000</v>
      </c>
      <c r="O326" s="127"/>
      <c r="P326" s="127"/>
      <c r="Q326" s="127"/>
      <c r="R326" s="127"/>
      <c r="S326" s="127"/>
      <c r="T326" s="127"/>
      <c r="U326" s="127"/>
      <c r="V326" s="127"/>
      <c r="W326" s="102">
        <v>10200000</v>
      </c>
    </row>
    <row r="327" spans="1:23" s="22" customFormat="1" ht="15">
      <c r="A327" s="137" t="s">
        <v>12</v>
      </c>
      <c r="B327" s="138"/>
      <c r="C327" s="139"/>
      <c r="D327" s="145"/>
      <c r="E327" s="197"/>
      <c r="F327" s="198"/>
      <c r="G327" s="145"/>
      <c r="H327" s="74">
        <f>H328</f>
        <v>13300000</v>
      </c>
      <c r="I327" s="74">
        <f t="shared" ref="I327:N327" si="124">I328</f>
        <v>3100000</v>
      </c>
      <c r="J327" s="74">
        <f t="shared" si="124"/>
        <v>2700000</v>
      </c>
      <c r="K327" s="74">
        <f t="shared" si="124"/>
        <v>2000000</v>
      </c>
      <c r="L327" s="74">
        <f t="shared" si="124"/>
        <v>2000000</v>
      </c>
      <c r="M327" s="74">
        <f t="shared" si="124"/>
        <v>2000000</v>
      </c>
      <c r="N327" s="74">
        <f t="shared" si="124"/>
        <v>1500000</v>
      </c>
      <c r="O327" s="116"/>
      <c r="P327" s="116"/>
      <c r="Q327" s="116"/>
      <c r="R327" s="116"/>
      <c r="S327" s="116"/>
      <c r="T327" s="116"/>
      <c r="U327" s="116"/>
      <c r="V327" s="116"/>
      <c r="W327" s="116"/>
    </row>
    <row r="328" spans="1:23" s="22" customFormat="1" ht="15">
      <c r="A328" s="112"/>
      <c r="B328" s="142" t="s">
        <v>25</v>
      </c>
      <c r="C328" s="143"/>
      <c r="D328" s="145"/>
      <c r="E328" s="197"/>
      <c r="F328" s="198"/>
      <c r="G328" s="145"/>
      <c r="H328" s="74">
        <v>13300000</v>
      </c>
      <c r="I328" s="74">
        <v>3100000</v>
      </c>
      <c r="J328" s="74">
        <v>2700000</v>
      </c>
      <c r="K328" s="74">
        <v>2000000</v>
      </c>
      <c r="L328" s="74">
        <v>2000000</v>
      </c>
      <c r="M328" s="114">
        <v>2000000</v>
      </c>
      <c r="N328" s="114">
        <v>1500000</v>
      </c>
      <c r="O328" s="116"/>
      <c r="P328" s="116"/>
      <c r="Q328" s="116"/>
      <c r="R328" s="116"/>
      <c r="S328" s="116"/>
      <c r="T328" s="116"/>
      <c r="U328" s="116"/>
      <c r="V328" s="116"/>
      <c r="W328" s="116"/>
    </row>
    <row r="329" spans="1:23" s="22" customFormat="1" ht="15">
      <c r="A329" s="205" t="s">
        <v>4</v>
      </c>
      <c r="B329" s="206"/>
      <c r="C329" s="207"/>
      <c r="D329" s="146"/>
      <c r="E329" s="199"/>
      <c r="F329" s="200"/>
      <c r="G329" s="146"/>
      <c r="H329" s="74"/>
      <c r="I329" s="74"/>
      <c r="J329" s="74"/>
      <c r="K329" s="74"/>
      <c r="L329" s="74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</row>
    <row r="330" spans="1:23" ht="155.25" customHeight="1">
      <c r="A330" s="10">
        <v>23</v>
      </c>
      <c r="B330" s="10" t="s">
        <v>82</v>
      </c>
      <c r="C330" s="10" t="s">
        <v>83</v>
      </c>
      <c r="D330" s="262" t="s">
        <v>149</v>
      </c>
      <c r="E330" s="186" t="s">
        <v>29</v>
      </c>
      <c r="F330" s="187"/>
      <c r="G330" s="183" t="s">
        <v>131</v>
      </c>
      <c r="H330" s="11">
        <f>SUM(H331:H332)</f>
        <v>14302800</v>
      </c>
      <c r="I330" s="72">
        <f t="shared" ref="I330:J330" si="125">SUM(I331:I332)</f>
        <v>3881000</v>
      </c>
      <c r="J330" s="72">
        <f t="shared" si="125"/>
        <v>1873000</v>
      </c>
      <c r="K330" s="11"/>
      <c r="L330" s="11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00">
        <v>0</v>
      </c>
    </row>
    <row r="331" spans="1:23" ht="15">
      <c r="A331" s="176" t="s">
        <v>3</v>
      </c>
      <c r="B331" s="165"/>
      <c r="C331" s="166"/>
      <c r="D331" s="184"/>
      <c r="E331" s="188"/>
      <c r="F331" s="189"/>
      <c r="G331" s="184"/>
      <c r="H331" s="8"/>
      <c r="I331" s="8"/>
      <c r="J331" s="8"/>
      <c r="K331" s="8"/>
      <c r="L331" s="8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">
      <c r="A332" s="176" t="s">
        <v>11</v>
      </c>
      <c r="B332" s="165"/>
      <c r="C332" s="166"/>
      <c r="D332" s="184"/>
      <c r="E332" s="188"/>
      <c r="F332" s="189"/>
      <c r="G332" s="184"/>
      <c r="H332" s="8">
        <f>H333</f>
        <v>14302800</v>
      </c>
      <c r="I332" s="70">
        <f t="shared" ref="I332:J332" si="126">I333</f>
        <v>3881000</v>
      </c>
      <c r="J332" s="70">
        <f t="shared" si="126"/>
        <v>1873000</v>
      </c>
      <c r="K332" s="8"/>
      <c r="L332" s="8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">
      <c r="A333" s="17"/>
      <c r="B333" s="162" t="s">
        <v>25</v>
      </c>
      <c r="C333" s="163"/>
      <c r="D333" s="185"/>
      <c r="E333" s="192"/>
      <c r="F333" s="193"/>
      <c r="G333" s="185"/>
      <c r="H333" s="8">
        <v>14302800</v>
      </c>
      <c r="I333" s="8">
        <v>3881000</v>
      </c>
      <c r="J333" s="8">
        <v>1873000</v>
      </c>
      <c r="K333" s="8"/>
      <c r="L333" s="8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23.75" customHeight="1">
      <c r="A334" s="10">
        <v>24</v>
      </c>
      <c r="B334" s="10" t="s">
        <v>86</v>
      </c>
      <c r="C334" s="105" t="s">
        <v>291</v>
      </c>
      <c r="D334" s="183" t="s">
        <v>149</v>
      </c>
      <c r="E334" s="186" t="s">
        <v>29</v>
      </c>
      <c r="F334" s="187"/>
      <c r="G334" s="183" t="s">
        <v>131</v>
      </c>
      <c r="H334" s="11">
        <f>SUM(H335,H337)</f>
        <v>76500</v>
      </c>
      <c r="I334" s="72">
        <f t="shared" ref="I334:J334" si="127">SUM(I335,I337)</f>
        <v>20000</v>
      </c>
      <c r="J334" s="72">
        <f t="shared" si="127"/>
        <v>20000</v>
      </c>
      <c r="K334" s="11"/>
      <c r="L334" s="11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00">
        <v>20000</v>
      </c>
    </row>
    <row r="335" spans="1:23" ht="15">
      <c r="A335" s="176" t="s">
        <v>12</v>
      </c>
      <c r="B335" s="165"/>
      <c r="C335" s="166"/>
      <c r="D335" s="184"/>
      <c r="E335" s="188"/>
      <c r="F335" s="189"/>
      <c r="G335" s="184"/>
      <c r="H335" s="8">
        <f>H336</f>
        <v>76500</v>
      </c>
      <c r="I335" s="70">
        <f t="shared" ref="I335:J335" si="128">I336</f>
        <v>20000</v>
      </c>
      <c r="J335" s="70">
        <f t="shared" si="128"/>
        <v>20000</v>
      </c>
      <c r="K335" s="8"/>
      <c r="L335" s="8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">
      <c r="A336" s="17"/>
      <c r="B336" s="162" t="s">
        <v>25</v>
      </c>
      <c r="C336" s="163"/>
      <c r="D336" s="184"/>
      <c r="E336" s="188"/>
      <c r="F336" s="189"/>
      <c r="G336" s="184"/>
      <c r="H336" s="8">
        <v>76500</v>
      </c>
      <c r="I336" s="8">
        <v>20000</v>
      </c>
      <c r="J336" s="8">
        <v>20000</v>
      </c>
      <c r="K336" s="8"/>
      <c r="L336" s="8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">
      <c r="A337" s="176" t="s">
        <v>4</v>
      </c>
      <c r="B337" s="165"/>
      <c r="C337" s="166"/>
      <c r="D337" s="185"/>
      <c r="E337" s="192"/>
      <c r="F337" s="193"/>
      <c r="G337" s="185"/>
      <c r="H337" s="8"/>
      <c r="I337" s="8"/>
      <c r="J337" s="8"/>
      <c r="K337" s="8"/>
      <c r="L337" s="8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s="22" customFormat="1" ht="69" customHeight="1">
      <c r="A338" s="85">
        <v>25</v>
      </c>
      <c r="B338" s="113" t="s">
        <v>292</v>
      </c>
      <c r="C338" s="85" t="s">
        <v>96</v>
      </c>
      <c r="D338" s="144" t="s">
        <v>149</v>
      </c>
      <c r="E338" s="195" t="s">
        <v>35</v>
      </c>
      <c r="F338" s="196"/>
      <c r="G338" s="144" t="s">
        <v>132</v>
      </c>
      <c r="H338" s="83">
        <f>SUM(H339,H341)</f>
        <v>3046680</v>
      </c>
      <c r="I338" s="83">
        <f t="shared" ref="I338:V338" si="129">SUM(I339,I341)</f>
        <v>200000</v>
      </c>
      <c r="J338" s="83">
        <f t="shared" si="129"/>
        <v>331600</v>
      </c>
      <c r="K338" s="83">
        <f t="shared" si="129"/>
        <v>200000</v>
      </c>
      <c r="L338" s="83">
        <f t="shared" si="129"/>
        <v>200000</v>
      </c>
      <c r="M338" s="83">
        <f t="shared" si="129"/>
        <v>200000</v>
      </c>
      <c r="N338" s="83">
        <f t="shared" si="129"/>
        <v>200000</v>
      </c>
      <c r="O338" s="83">
        <f t="shared" si="129"/>
        <v>200000</v>
      </c>
      <c r="P338" s="83">
        <f t="shared" si="129"/>
        <v>200000</v>
      </c>
      <c r="Q338" s="83">
        <f t="shared" si="129"/>
        <v>200000</v>
      </c>
      <c r="R338" s="83">
        <f t="shared" si="129"/>
        <v>200000</v>
      </c>
      <c r="S338" s="83">
        <f t="shared" si="129"/>
        <v>200000</v>
      </c>
      <c r="T338" s="83">
        <f t="shared" si="129"/>
        <v>200000</v>
      </c>
      <c r="U338" s="83">
        <f t="shared" si="129"/>
        <v>200000</v>
      </c>
      <c r="V338" s="83">
        <f t="shared" si="129"/>
        <v>200000</v>
      </c>
      <c r="W338" s="102">
        <f>39600+692000</f>
        <v>731600</v>
      </c>
    </row>
    <row r="339" spans="1:23" s="22" customFormat="1" ht="15">
      <c r="A339" s="137" t="s">
        <v>12</v>
      </c>
      <c r="B339" s="138"/>
      <c r="C339" s="139"/>
      <c r="D339" s="145"/>
      <c r="E339" s="197"/>
      <c r="F339" s="198"/>
      <c r="G339" s="145"/>
      <c r="H339" s="74">
        <f>H340</f>
        <v>3046680</v>
      </c>
      <c r="I339" s="74">
        <f t="shared" ref="I339:V339" si="130">I340</f>
        <v>200000</v>
      </c>
      <c r="J339" s="74">
        <f t="shared" si="130"/>
        <v>331600</v>
      </c>
      <c r="K339" s="74">
        <f t="shared" si="130"/>
        <v>200000</v>
      </c>
      <c r="L339" s="74">
        <f t="shared" si="130"/>
        <v>200000</v>
      </c>
      <c r="M339" s="74">
        <f t="shared" si="130"/>
        <v>200000</v>
      </c>
      <c r="N339" s="74">
        <f t="shared" si="130"/>
        <v>200000</v>
      </c>
      <c r="O339" s="74">
        <f t="shared" si="130"/>
        <v>200000</v>
      </c>
      <c r="P339" s="74">
        <f t="shared" si="130"/>
        <v>200000</v>
      </c>
      <c r="Q339" s="74">
        <f t="shared" si="130"/>
        <v>200000</v>
      </c>
      <c r="R339" s="74">
        <f t="shared" si="130"/>
        <v>200000</v>
      </c>
      <c r="S339" s="74">
        <f t="shared" si="130"/>
        <v>200000</v>
      </c>
      <c r="T339" s="74">
        <f t="shared" si="130"/>
        <v>200000</v>
      </c>
      <c r="U339" s="74">
        <f t="shared" si="130"/>
        <v>200000</v>
      </c>
      <c r="V339" s="74">
        <f t="shared" si="130"/>
        <v>200000</v>
      </c>
      <c r="W339" s="116"/>
    </row>
    <row r="340" spans="1:23" s="22" customFormat="1" ht="15">
      <c r="A340" s="130"/>
      <c r="B340" s="140" t="s">
        <v>25</v>
      </c>
      <c r="C340" s="141"/>
      <c r="D340" s="145"/>
      <c r="E340" s="197"/>
      <c r="F340" s="198"/>
      <c r="G340" s="145"/>
      <c r="H340" s="74">
        <v>3046680</v>
      </c>
      <c r="I340" s="74">
        <v>200000</v>
      </c>
      <c r="J340" s="74">
        <f>200000+131600</f>
        <v>331600</v>
      </c>
      <c r="K340" s="74">
        <v>200000</v>
      </c>
      <c r="L340" s="74">
        <v>200000</v>
      </c>
      <c r="M340" s="74">
        <v>200000</v>
      </c>
      <c r="N340" s="74">
        <v>200000</v>
      </c>
      <c r="O340" s="74">
        <v>200000</v>
      </c>
      <c r="P340" s="74">
        <v>200000</v>
      </c>
      <c r="Q340" s="74">
        <v>200000</v>
      </c>
      <c r="R340" s="74">
        <v>200000</v>
      </c>
      <c r="S340" s="74">
        <v>200000</v>
      </c>
      <c r="T340" s="74">
        <v>200000</v>
      </c>
      <c r="U340" s="74">
        <v>200000</v>
      </c>
      <c r="V340" s="74">
        <v>200000</v>
      </c>
      <c r="W340" s="116"/>
    </row>
    <row r="341" spans="1:23" s="22" customFormat="1" ht="15">
      <c r="A341" s="137" t="s">
        <v>4</v>
      </c>
      <c r="B341" s="138"/>
      <c r="C341" s="139"/>
      <c r="D341" s="146"/>
      <c r="E341" s="199"/>
      <c r="F341" s="200"/>
      <c r="G341" s="146"/>
      <c r="H341" s="74"/>
      <c r="I341" s="74"/>
      <c r="J341" s="74"/>
      <c r="K341" s="74"/>
      <c r="L341" s="74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</row>
    <row r="342" spans="1:23" ht="75">
      <c r="A342" s="10">
        <v>26</v>
      </c>
      <c r="B342" s="10" t="s">
        <v>98</v>
      </c>
      <c r="C342" s="10" t="s">
        <v>99</v>
      </c>
      <c r="D342" s="183" t="s">
        <v>20</v>
      </c>
      <c r="E342" s="186" t="s">
        <v>29</v>
      </c>
      <c r="F342" s="187"/>
      <c r="G342" s="183" t="s">
        <v>133</v>
      </c>
      <c r="H342" s="11">
        <f>SUM(H343:H344)</f>
        <v>2053836</v>
      </c>
      <c r="I342" s="11">
        <f t="shared" ref="I342:J342" si="131">SUM(I343:I344)</f>
        <v>1228386</v>
      </c>
      <c r="J342" s="11">
        <f t="shared" si="131"/>
        <v>210150</v>
      </c>
      <c r="K342" s="11"/>
      <c r="L342" s="11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00">
        <v>0</v>
      </c>
    </row>
    <row r="343" spans="1:23" ht="15">
      <c r="A343" s="176" t="s">
        <v>3</v>
      </c>
      <c r="B343" s="165"/>
      <c r="C343" s="166"/>
      <c r="D343" s="184"/>
      <c r="E343" s="188"/>
      <c r="F343" s="189"/>
      <c r="G343" s="184"/>
      <c r="H343" s="8"/>
      <c r="I343" s="8"/>
      <c r="J343" s="8"/>
      <c r="K343" s="8"/>
      <c r="L343" s="8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">
      <c r="A344" s="176" t="s">
        <v>11</v>
      </c>
      <c r="B344" s="165"/>
      <c r="C344" s="166"/>
      <c r="D344" s="184"/>
      <c r="E344" s="188"/>
      <c r="F344" s="189"/>
      <c r="G344" s="184"/>
      <c r="H344" s="8">
        <f>H345</f>
        <v>2053836</v>
      </c>
      <c r="I344" s="8">
        <f>SUM(I345:I345)</f>
        <v>1228386</v>
      </c>
      <c r="J344" s="8">
        <f>SUM(J345:J345)</f>
        <v>210150</v>
      </c>
      <c r="K344" s="8"/>
      <c r="L344" s="8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">
      <c r="A345" s="17"/>
      <c r="B345" s="162" t="s">
        <v>25</v>
      </c>
      <c r="C345" s="163"/>
      <c r="D345" s="185"/>
      <c r="E345" s="192"/>
      <c r="F345" s="193"/>
      <c r="G345" s="185"/>
      <c r="H345" s="8">
        <v>2053836</v>
      </c>
      <c r="I345" s="8">
        <v>1228386</v>
      </c>
      <c r="J345" s="8">
        <v>210150</v>
      </c>
      <c r="K345" s="8"/>
      <c r="L345" s="8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s="22" customFormat="1" ht="90">
      <c r="A346" s="85">
        <v>27</v>
      </c>
      <c r="B346" s="113" t="s">
        <v>280</v>
      </c>
      <c r="C346" s="113" t="s">
        <v>281</v>
      </c>
      <c r="D346" s="144" t="s">
        <v>20</v>
      </c>
      <c r="E346" s="147" t="s">
        <v>282</v>
      </c>
      <c r="F346" s="196"/>
      <c r="G346" s="144" t="s">
        <v>133</v>
      </c>
      <c r="H346" s="83">
        <f>SUM(H347:H348)</f>
        <v>30379469</v>
      </c>
      <c r="I346" s="83">
        <f t="shared" ref="I346:J346" si="132">SUM(I347:I348)</f>
        <v>1932900</v>
      </c>
      <c r="J346" s="83">
        <f t="shared" si="132"/>
        <v>971922</v>
      </c>
      <c r="K346" s="83"/>
      <c r="L346" s="83"/>
      <c r="M346" s="127"/>
      <c r="N346" s="127"/>
      <c r="O346" s="127"/>
      <c r="P346" s="127"/>
      <c r="Q346" s="127"/>
      <c r="R346" s="127"/>
      <c r="S346" s="127"/>
      <c r="T346" s="127"/>
      <c r="U346" s="127"/>
      <c r="V346" s="127"/>
      <c r="W346" s="102">
        <v>0</v>
      </c>
    </row>
    <row r="347" spans="1:23" s="22" customFormat="1" ht="15">
      <c r="A347" s="137" t="s">
        <v>3</v>
      </c>
      <c r="B347" s="138"/>
      <c r="C347" s="139"/>
      <c r="D347" s="145"/>
      <c r="E347" s="197"/>
      <c r="F347" s="198"/>
      <c r="G347" s="145"/>
      <c r="H347" s="74"/>
      <c r="I347" s="74"/>
      <c r="J347" s="74"/>
      <c r="K347" s="74"/>
      <c r="L347" s="74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</row>
    <row r="348" spans="1:23" s="22" customFormat="1" ht="15">
      <c r="A348" s="137" t="s">
        <v>11</v>
      </c>
      <c r="B348" s="138"/>
      <c r="C348" s="139"/>
      <c r="D348" s="145"/>
      <c r="E348" s="197"/>
      <c r="F348" s="198"/>
      <c r="G348" s="145"/>
      <c r="H348" s="74">
        <f>H349</f>
        <v>30379469</v>
      </c>
      <c r="I348" s="74">
        <f>SUM(I349:I349)</f>
        <v>1932900</v>
      </c>
      <c r="J348" s="74">
        <f>SUM(J349:J349)</f>
        <v>971922</v>
      </c>
      <c r="K348" s="74"/>
      <c r="L348" s="74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</row>
    <row r="349" spans="1:23" s="22" customFormat="1" ht="15">
      <c r="A349" s="130"/>
      <c r="B349" s="140" t="s">
        <v>25</v>
      </c>
      <c r="C349" s="141"/>
      <c r="D349" s="146"/>
      <c r="E349" s="199"/>
      <c r="F349" s="200"/>
      <c r="G349" s="146"/>
      <c r="H349" s="74">
        <v>30379469</v>
      </c>
      <c r="I349" s="74">
        <v>1932900</v>
      </c>
      <c r="J349" s="74">
        <v>971922</v>
      </c>
      <c r="K349" s="74"/>
      <c r="L349" s="74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</row>
    <row r="350" spans="1:23" s="22" customFormat="1" ht="65.25" customHeight="1">
      <c r="A350" s="85">
        <v>28</v>
      </c>
      <c r="B350" s="85" t="s">
        <v>100</v>
      </c>
      <c r="C350" s="85" t="s">
        <v>101</v>
      </c>
      <c r="D350" s="144" t="s">
        <v>15</v>
      </c>
      <c r="E350" s="195" t="s">
        <v>34</v>
      </c>
      <c r="F350" s="196"/>
      <c r="G350" s="144" t="s">
        <v>134</v>
      </c>
      <c r="H350" s="83">
        <f>SUM(H351,H353)</f>
        <v>2623209</v>
      </c>
      <c r="I350" s="83">
        <f t="shared" ref="I350:J350" si="133">SUM(I351,I353)</f>
        <v>923750</v>
      </c>
      <c r="J350" s="83">
        <f t="shared" si="133"/>
        <v>1070000</v>
      </c>
      <c r="K350" s="83"/>
      <c r="L350" s="83"/>
      <c r="M350" s="127"/>
      <c r="N350" s="127"/>
      <c r="O350" s="127"/>
      <c r="P350" s="127"/>
      <c r="Q350" s="127"/>
      <c r="R350" s="127"/>
      <c r="S350" s="127"/>
      <c r="T350" s="127"/>
      <c r="U350" s="127"/>
      <c r="V350" s="127"/>
      <c r="W350" s="102">
        <v>0</v>
      </c>
    </row>
    <row r="351" spans="1:23" s="22" customFormat="1" ht="15">
      <c r="A351" s="137" t="s">
        <v>12</v>
      </c>
      <c r="B351" s="138"/>
      <c r="C351" s="139"/>
      <c r="D351" s="145"/>
      <c r="E351" s="197"/>
      <c r="F351" s="198"/>
      <c r="G351" s="145"/>
      <c r="H351" s="74">
        <f>H352</f>
        <v>2533209</v>
      </c>
      <c r="I351" s="74">
        <f t="shared" ref="I351:J351" si="134">I352</f>
        <v>923750</v>
      </c>
      <c r="J351" s="74">
        <f t="shared" si="134"/>
        <v>1070000</v>
      </c>
      <c r="K351" s="74"/>
      <c r="L351" s="74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</row>
    <row r="352" spans="1:23" s="22" customFormat="1" ht="15">
      <c r="A352" s="130"/>
      <c r="B352" s="140" t="s">
        <v>25</v>
      </c>
      <c r="C352" s="141"/>
      <c r="D352" s="145"/>
      <c r="E352" s="197"/>
      <c r="F352" s="198"/>
      <c r="G352" s="145"/>
      <c r="H352" s="74">
        <v>2533209</v>
      </c>
      <c r="I352" s="74">
        <f>383100+540650</f>
        <v>923750</v>
      </c>
      <c r="J352" s="74">
        <v>1070000</v>
      </c>
      <c r="K352" s="74"/>
      <c r="L352" s="74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</row>
    <row r="353" spans="1:23" s="22" customFormat="1" ht="15">
      <c r="A353" s="137" t="s">
        <v>4</v>
      </c>
      <c r="B353" s="138"/>
      <c r="C353" s="139"/>
      <c r="D353" s="145"/>
      <c r="E353" s="197"/>
      <c r="F353" s="198"/>
      <c r="G353" s="145"/>
      <c r="H353" s="74">
        <f>H354</f>
        <v>90000</v>
      </c>
      <c r="I353" s="74"/>
      <c r="J353" s="74"/>
      <c r="K353" s="74"/>
      <c r="L353" s="74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</row>
    <row r="354" spans="1:23" s="22" customFormat="1" ht="15">
      <c r="A354" s="130"/>
      <c r="B354" s="140" t="s">
        <v>25</v>
      </c>
      <c r="C354" s="141"/>
      <c r="D354" s="146"/>
      <c r="E354" s="199"/>
      <c r="F354" s="200"/>
      <c r="G354" s="146"/>
      <c r="H354" s="74">
        <v>90000</v>
      </c>
      <c r="I354" s="74"/>
      <c r="J354" s="74"/>
      <c r="K354" s="74"/>
      <c r="L354" s="74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</row>
    <row r="355" spans="1:23" s="22" customFormat="1" ht="30">
      <c r="A355" s="85">
        <v>29</v>
      </c>
      <c r="B355" s="85" t="s">
        <v>102</v>
      </c>
      <c r="C355" s="85" t="s">
        <v>103</v>
      </c>
      <c r="D355" s="144" t="s">
        <v>15</v>
      </c>
      <c r="E355" s="195" t="s">
        <v>32</v>
      </c>
      <c r="F355" s="196"/>
      <c r="G355" s="144" t="s">
        <v>135</v>
      </c>
      <c r="H355" s="83">
        <f>SUM(H356,H358)</f>
        <v>3398617</v>
      </c>
      <c r="I355" s="83">
        <f t="shared" ref="I355:L355" si="135">SUM(I356,I358)</f>
        <v>700000</v>
      </c>
      <c r="J355" s="83">
        <f t="shared" si="135"/>
        <v>700000</v>
      </c>
      <c r="K355" s="83">
        <f t="shared" si="135"/>
        <v>800000</v>
      </c>
      <c r="L355" s="83">
        <f t="shared" si="135"/>
        <v>800000</v>
      </c>
      <c r="M355" s="127"/>
      <c r="N355" s="127"/>
      <c r="O355" s="127"/>
      <c r="P355" s="127"/>
      <c r="Q355" s="127"/>
      <c r="R355" s="127"/>
      <c r="S355" s="127"/>
      <c r="T355" s="127"/>
      <c r="U355" s="127"/>
      <c r="V355" s="127"/>
      <c r="W355" s="102">
        <v>0</v>
      </c>
    </row>
    <row r="356" spans="1:23" s="22" customFormat="1" ht="15">
      <c r="A356" s="137" t="s">
        <v>12</v>
      </c>
      <c r="B356" s="138"/>
      <c r="C356" s="139"/>
      <c r="D356" s="145"/>
      <c r="E356" s="197"/>
      <c r="F356" s="198"/>
      <c r="G356" s="145"/>
      <c r="H356" s="74">
        <f>H357</f>
        <v>3398617</v>
      </c>
      <c r="I356" s="74">
        <f t="shared" ref="I356:L356" si="136">I357</f>
        <v>700000</v>
      </c>
      <c r="J356" s="74">
        <f t="shared" si="136"/>
        <v>700000</v>
      </c>
      <c r="K356" s="74">
        <f t="shared" si="136"/>
        <v>800000</v>
      </c>
      <c r="L356" s="74">
        <f t="shared" si="136"/>
        <v>800000</v>
      </c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</row>
    <row r="357" spans="1:23" s="22" customFormat="1" ht="15">
      <c r="A357" s="130"/>
      <c r="B357" s="140" t="s">
        <v>25</v>
      </c>
      <c r="C357" s="141"/>
      <c r="D357" s="145"/>
      <c r="E357" s="197"/>
      <c r="F357" s="198"/>
      <c r="G357" s="145"/>
      <c r="H357" s="74">
        <f>3400000-1383</f>
        <v>3398617</v>
      </c>
      <c r="I357" s="74">
        <v>700000</v>
      </c>
      <c r="J357" s="74">
        <v>700000</v>
      </c>
      <c r="K357" s="74">
        <v>800000</v>
      </c>
      <c r="L357" s="74">
        <v>800000</v>
      </c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</row>
    <row r="358" spans="1:23" s="22" customFormat="1" ht="15">
      <c r="A358" s="137" t="s">
        <v>4</v>
      </c>
      <c r="B358" s="138"/>
      <c r="C358" s="139"/>
      <c r="D358" s="146"/>
      <c r="E358" s="199"/>
      <c r="F358" s="200"/>
      <c r="G358" s="146"/>
      <c r="H358" s="74"/>
      <c r="I358" s="74"/>
      <c r="J358" s="74"/>
      <c r="K358" s="74"/>
      <c r="L358" s="74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</row>
    <row r="359" spans="1:23" ht="75">
      <c r="A359" s="10">
        <v>30</v>
      </c>
      <c r="B359" s="10" t="s">
        <v>106</v>
      </c>
      <c r="C359" s="10" t="s">
        <v>107</v>
      </c>
      <c r="D359" s="183" t="s">
        <v>15</v>
      </c>
      <c r="E359" s="186" t="s">
        <v>33</v>
      </c>
      <c r="F359" s="187"/>
      <c r="G359" s="183" t="s">
        <v>136</v>
      </c>
      <c r="H359" s="11">
        <f>SUM(H360,H362)</f>
        <v>7647248</v>
      </c>
      <c r="I359" s="72">
        <f t="shared" ref="I359:Q359" si="137">SUM(I360,I362)</f>
        <v>536500</v>
      </c>
      <c r="J359" s="72">
        <f t="shared" si="137"/>
        <v>536500</v>
      </c>
      <c r="K359" s="72">
        <f t="shared" si="137"/>
        <v>536500</v>
      </c>
      <c r="L359" s="72">
        <f t="shared" si="137"/>
        <v>777925</v>
      </c>
      <c r="M359" s="72">
        <f t="shared" si="137"/>
        <v>777925</v>
      </c>
      <c r="N359" s="72">
        <f t="shared" si="137"/>
        <v>777925</v>
      </c>
      <c r="O359" s="72">
        <f t="shared" si="137"/>
        <v>1127991</v>
      </c>
      <c r="P359" s="72">
        <f t="shared" si="137"/>
        <v>1127991</v>
      </c>
      <c r="Q359" s="72">
        <f t="shared" si="137"/>
        <v>1127991</v>
      </c>
      <c r="R359" s="12"/>
      <c r="S359" s="12"/>
      <c r="T359" s="12"/>
      <c r="U359" s="12"/>
      <c r="V359" s="12"/>
      <c r="W359" s="100">
        <v>0</v>
      </c>
    </row>
    <row r="360" spans="1:23" ht="15">
      <c r="A360" s="176" t="s">
        <v>12</v>
      </c>
      <c r="B360" s="165"/>
      <c r="C360" s="166"/>
      <c r="D360" s="184"/>
      <c r="E360" s="188"/>
      <c r="F360" s="189"/>
      <c r="G360" s="184"/>
      <c r="H360" s="8">
        <f>H361</f>
        <v>7647248</v>
      </c>
      <c r="I360" s="70">
        <f t="shared" ref="I360:Q360" si="138">I361</f>
        <v>536500</v>
      </c>
      <c r="J360" s="70">
        <f t="shared" si="138"/>
        <v>536500</v>
      </c>
      <c r="K360" s="70">
        <f t="shared" si="138"/>
        <v>536500</v>
      </c>
      <c r="L360" s="70">
        <f t="shared" si="138"/>
        <v>777925</v>
      </c>
      <c r="M360" s="70">
        <f t="shared" si="138"/>
        <v>777925</v>
      </c>
      <c r="N360" s="70">
        <f t="shared" si="138"/>
        <v>777925</v>
      </c>
      <c r="O360" s="70">
        <f t="shared" si="138"/>
        <v>1127991</v>
      </c>
      <c r="P360" s="70">
        <f t="shared" si="138"/>
        <v>1127991</v>
      </c>
      <c r="Q360" s="70">
        <f t="shared" si="138"/>
        <v>1127991</v>
      </c>
      <c r="R360" s="8"/>
      <c r="S360" s="8"/>
      <c r="T360" s="2"/>
      <c r="U360" s="2"/>
      <c r="V360" s="2"/>
      <c r="W360" s="2"/>
    </row>
    <row r="361" spans="1:23" ht="15">
      <c r="A361" s="17"/>
      <c r="B361" s="162" t="s">
        <v>25</v>
      </c>
      <c r="C361" s="163"/>
      <c r="D361" s="184"/>
      <c r="E361" s="188"/>
      <c r="F361" s="189"/>
      <c r="G361" s="184"/>
      <c r="H361" s="8">
        <v>7647248</v>
      </c>
      <c r="I361" s="8">
        <v>536500</v>
      </c>
      <c r="J361" s="8">
        <v>536500</v>
      </c>
      <c r="K361" s="8">
        <v>536500</v>
      </c>
      <c r="L361" s="8">
        <v>777925</v>
      </c>
      <c r="M361" s="8">
        <v>777925</v>
      </c>
      <c r="N361" s="8">
        <v>777925</v>
      </c>
      <c r="O361" s="8">
        <v>1127991</v>
      </c>
      <c r="P361" s="8">
        <v>1127991</v>
      </c>
      <c r="Q361" s="8">
        <v>1127991</v>
      </c>
      <c r="R361" s="8"/>
      <c r="S361" s="8"/>
      <c r="T361" s="2"/>
      <c r="U361" s="2"/>
      <c r="V361" s="2"/>
      <c r="W361" s="2"/>
    </row>
    <row r="362" spans="1:23" ht="15">
      <c r="A362" s="176" t="s">
        <v>4</v>
      </c>
      <c r="B362" s="165"/>
      <c r="C362" s="166"/>
      <c r="D362" s="185"/>
      <c r="E362" s="192"/>
      <c r="F362" s="193"/>
      <c r="G362" s="185"/>
      <c r="H362" s="8"/>
      <c r="I362" s="8"/>
      <c r="J362" s="8"/>
      <c r="K362" s="8"/>
      <c r="L362" s="8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35.25" customHeight="1">
      <c r="A363" s="23">
        <v>31</v>
      </c>
      <c r="B363" s="69" t="s">
        <v>108</v>
      </c>
      <c r="C363" s="24" t="s">
        <v>109</v>
      </c>
      <c r="D363" s="183" t="s">
        <v>21</v>
      </c>
      <c r="E363" s="186" t="s">
        <v>32</v>
      </c>
      <c r="F363" s="187"/>
      <c r="G363" s="183" t="s">
        <v>137</v>
      </c>
      <c r="H363" s="11">
        <f>SUM(H364,H367)</f>
        <v>54713718</v>
      </c>
      <c r="I363" s="72">
        <f t="shared" ref="I363:L363" si="139">SUM(I364,I367)</f>
        <v>14650584</v>
      </c>
      <c r="J363" s="72">
        <f t="shared" si="139"/>
        <v>14705882</v>
      </c>
      <c r="K363" s="72">
        <f t="shared" si="139"/>
        <v>8506859</v>
      </c>
      <c r="L363" s="72">
        <f t="shared" si="139"/>
        <v>3506183</v>
      </c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00">
        <v>0</v>
      </c>
    </row>
    <row r="364" spans="1:23" ht="15">
      <c r="A364" s="176" t="s">
        <v>12</v>
      </c>
      <c r="B364" s="165"/>
      <c r="C364" s="166"/>
      <c r="D364" s="184"/>
      <c r="E364" s="188"/>
      <c r="F364" s="189"/>
      <c r="G364" s="184"/>
      <c r="H364" s="8">
        <f>SUM(H365:H366)</f>
        <v>54713718</v>
      </c>
      <c r="I364" s="70">
        <f t="shared" ref="I364:L364" si="140">SUM(I365:I366)</f>
        <v>14650584</v>
      </c>
      <c r="J364" s="70">
        <f t="shared" si="140"/>
        <v>14705882</v>
      </c>
      <c r="K364" s="70">
        <f t="shared" si="140"/>
        <v>8506859</v>
      </c>
      <c r="L364" s="70">
        <f t="shared" si="140"/>
        <v>3506183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">
      <c r="A365" s="17"/>
      <c r="B365" s="162" t="s">
        <v>25</v>
      </c>
      <c r="C365" s="163"/>
      <c r="D365" s="184"/>
      <c r="E365" s="188"/>
      <c r="F365" s="189"/>
      <c r="G365" s="184"/>
      <c r="H365" s="8">
        <v>13311982</v>
      </c>
      <c r="I365" s="8">
        <v>1948188</v>
      </c>
      <c r="J365" s="8">
        <v>1956482</v>
      </c>
      <c r="K365" s="8">
        <v>4104621</v>
      </c>
      <c r="L365" s="8">
        <v>3506183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">
      <c r="A366" s="17"/>
      <c r="B366" s="162" t="s">
        <v>24</v>
      </c>
      <c r="C366" s="163"/>
      <c r="D366" s="184"/>
      <c r="E366" s="188"/>
      <c r="F366" s="189"/>
      <c r="G366" s="184"/>
      <c r="H366" s="8">
        <v>41401736</v>
      </c>
      <c r="I366" s="8">
        <v>12702396</v>
      </c>
      <c r="J366" s="8">
        <v>12749400</v>
      </c>
      <c r="K366" s="8">
        <v>4402238</v>
      </c>
      <c r="L366" s="8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">
      <c r="A367" s="176" t="s">
        <v>4</v>
      </c>
      <c r="B367" s="165"/>
      <c r="C367" s="166"/>
      <c r="D367" s="185"/>
      <c r="E367" s="192"/>
      <c r="F367" s="193"/>
      <c r="G367" s="185"/>
      <c r="H367" s="8"/>
      <c r="I367" s="8"/>
      <c r="J367" s="8"/>
      <c r="K367" s="8"/>
      <c r="L367" s="8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s="22" customFormat="1" ht="156.75" customHeight="1">
      <c r="A368" s="131">
        <v>32</v>
      </c>
      <c r="B368" s="98" t="s">
        <v>268</v>
      </c>
      <c r="C368" s="119" t="s">
        <v>269</v>
      </c>
      <c r="D368" s="264" t="s">
        <v>149</v>
      </c>
      <c r="E368" s="147" t="s">
        <v>146</v>
      </c>
      <c r="F368" s="196"/>
      <c r="G368" s="264" t="s">
        <v>270</v>
      </c>
      <c r="H368" s="83">
        <f>SUM(H369,H372)</f>
        <v>300000</v>
      </c>
      <c r="I368" s="83">
        <f t="shared" ref="I368:J368" si="141">SUM(I369,I372)</f>
        <v>67000</v>
      </c>
      <c r="J368" s="83">
        <f t="shared" si="141"/>
        <v>233000</v>
      </c>
      <c r="K368" s="83"/>
      <c r="L368" s="83"/>
      <c r="M368" s="127"/>
      <c r="N368" s="127"/>
      <c r="O368" s="127"/>
      <c r="P368" s="127"/>
      <c r="Q368" s="127"/>
      <c r="R368" s="127"/>
      <c r="S368" s="127"/>
      <c r="T368" s="127"/>
      <c r="U368" s="127"/>
      <c r="V368" s="127"/>
      <c r="W368" s="102">
        <v>233000</v>
      </c>
    </row>
    <row r="369" spans="1:23" s="22" customFormat="1" ht="15">
      <c r="A369" s="137" t="s">
        <v>12</v>
      </c>
      <c r="B369" s="138"/>
      <c r="C369" s="139"/>
      <c r="D369" s="145"/>
      <c r="E369" s="197"/>
      <c r="F369" s="198"/>
      <c r="G369" s="145"/>
      <c r="H369" s="74">
        <f>SUM(H370:H371)</f>
        <v>300000</v>
      </c>
      <c r="I369" s="74">
        <f t="shared" ref="I369:J369" si="142">SUM(I370:I371)</f>
        <v>67000</v>
      </c>
      <c r="J369" s="74">
        <f t="shared" si="142"/>
        <v>233000</v>
      </c>
      <c r="K369" s="74"/>
      <c r="L369" s="74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</row>
    <row r="370" spans="1:23" s="22" customFormat="1" ht="15">
      <c r="A370" s="130"/>
      <c r="B370" s="140" t="s">
        <v>25</v>
      </c>
      <c r="C370" s="141"/>
      <c r="D370" s="145"/>
      <c r="E370" s="197"/>
      <c r="F370" s="198"/>
      <c r="G370" s="145"/>
      <c r="H370" s="74">
        <v>90000</v>
      </c>
      <c r="I370" s="74">
        <v>27000</v>
      </c>
      <c r="J370" s="74">
        <v>63000</v>
      </c>
      <c r="K370" s="74"/>
      <c r="L370" s="74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</row>
    <row r="371" spans="1:23" s="22" customFormat="1" ht="15">
      <c r="A371" s="130"/>
      <c r="B371" s="140" t="s">
        <v>157</v>
      </c>
      <c r="C371" s="141"/>
      <c r="D371" s="145"/>
      <c r="E371" s="197"/>
      <c r="F371" s="198"/>
      <c r="G371" s="145"/>
      <c r="H371" s="74">
        <v>210000</v>
      </c>
      <c r="I371" s="74">
        <v>40000</v>
      </c>
      <c r="J371" s="74">
        <v>170000</v>
      </c>
      <c r="K371" s="74"/>
      <c r="L371" s="74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</row>
    <row r="372" spans="1:23" s="22" customFormat="1" ht="15">
      <c r="A372" s="137" t="s">
        <v>4</v>
      </c>
      <c r="B372" s="138"/>
      <c r="C372" s="139"/>
      <c r="D372" s="146"/>
      <c r="E372" s="199"/>
      <c r="F372" s="200"/>
      <c r="G372" s="146"/>
      <c r="H372" s="74"/>
      <c r="I372" s="74"/>
      <c r="J372" s="74"/>
      <c r="K372" s="74"/>
      <c r="L372" s="74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</row>
    <row r="373" spans="1:23" s="22" customFormat="1" ht="166.5" customHeight="1">
      <c r="A373" s="85">
        <v>33</v>
      </c>
      <c r="B373" s="98" t="s">
        <v>253</v>
      </c>
      <c r="C373" s="119" t="s">
        <v>254</v>
      </c>
      <c r="D373" s="264" t="s">
        <v>255</v>
      </c>
      <c r="E373" s="147" t="s">
        <v>256</v>
      </c>
      <c r="F373" s="196"/>
      <c r="G373" s="264" t="s">
        <v>257</v>
      </c>
      <c r="H373" s="83">
        <f>SUM(H374:H375)</f>
        <v>1461314</v>
      </c>
      <c r="I373" s="83">
        <f>SUM(I374:I375)</f>
        <v>557333</v>
      </c>
      <c r="J373" s="83">
        <f>SUM(J374:J375)</f>
        <v>761454</v>
      </c>
      <c r="K373" s="83"/>
      <c r="L373" s="83"/>
      <c r="M373" s="127"/>
      <c r="N373" s="127"/>
      <c r="O373" s="127"/>
      <c r="P373" s="127"/>
      <c r="Q373" s="127"/>
      <c r="R373" s="127"/>
      <c r="S373" s="127"/>
      <c r="T373" s="127"/>
      <c r="U373" s="127"/>
      <c r="V373" s="127"/>
      <c r="W373" s="102">
        <v>0</v>
      </c>
    </row>
    <row r="374" spans="1:23" s="22" customFormat="1" ht="15">
      <c r="A374" s="137" t="s">
        <v>3</v>
      </c>
      <c r="B374" s="138"/>
      <c r="C374" s="139"/>
      <c r="D374" s="145"/>
      <c r="E374" s="197"/>
      <c r="F374" s="198"/>
      <c r="G374" s="145"/>
      <c r="H374" s="74"/>
      <c r="I374" s="74"/>
      <c r="J374" s="74"/>
      <c r="K374" s="74"/>
      <c r="L374" s="74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</row>
    <row r="375" spans="1:23" s="22" customFormat="1" ht="15">
      <c r="A375" s="137" t="s">
        <v>11</v>
      </c>
      <c r="B375" s="138"/>
      <c r="C375" s="139"/>
      <c r="D375" s="145"/>
      <c r="E375" s="197"/>
      <c r="F375" s="198"/>
      <c r="G375" s="145"/>
      <c r="H375" s="74">
        <f>SUM(H376)</f>
        <v>1461314</v>
      </c>
      <c r="I375" s="74">
        <f>SUM(I376)</f>
        <v>557333</v>
      </c>
      <c r="J375" s="74">
        <f>SUM(J376)</f>
        <v>761454</v>
      </c>
      <c r="K375" s="74"/>
      <c r="L375" s="74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</row>
    <row r="376" spans="1:23" s="22" customFormat="1" ht="15">
      <c r="A376" s="130"/>
      <c r="B376" s="140" t="s">
        <v>25</v>
      </c>
      <c r="C376" s="141"/>
      <c r="D376" s="146"/>
      <c r="E376" s="199"/>
      <c r="F376" s="200"/>
      <c r="G376" s="146"/>
      <c r="H376" s="74">
        <f>SUM(I376:J376)+142527</f>
        <v>1461314</v>
      </c>
      <c r="I376" s="74">
        <v>557333</v>
      </c>
      <c r="J376" s="74">
        <v>761454</v>
      </c>
      <c r="K376" s="74"/>
      <c r="L376" s="74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</row>
    <row r="377" spans="1:23" ht="50.25" customHeight="1">
      <c r="A377" s="10">
        <v>34</v>
      </c>
      <c r="B377" s="4" t="s">
        <v>111</v>
      </c>
      <c r="C377" s="24" t="s">
        <v>112</v>
      </c>
      <c r="D377" s="183" t="s">
        <v>188</v>
      </c>
      <c r="E377" s="186" t="s">
        <v>29</v>
      </c>
      <c r="F377" s="187"/>
      <c r="G377" s="183" t="s">
        <v>138</v>
      </c>
      <c r="H377" s="11">
        <f>SUM(H378,H379)</f>
        <v>5805000</v>
      </c>
      <c r="I377" s="11">
        <f t="shared" ref="I377:J377" si="143">SUM(I378:I379)</f>
        <v>900000</v>
      </c>
      <c r="J377" s="11">
        <f t="shared" si="143"/>
        <v>4505000</v>
      </c>
      <c r="K377" s="11"/>
      <c r="L377" s="11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00">
        <v>0</v>
      </c>
    </row>
    <row r="378" spans="1:23" ht="15">
      <c r="A378" s="137" t="s">
        <v>3</v>
      </c>
      <c r="B378" s="138"/>
      <c r="C378" s="139"/>
      <c r="D378" s="184"/>
      <c r="E378" s="188"/>
      <c r="F378" s="189"/>
      <c r="G378" s="184"/>
      <c r="H378" s="8"/>
      <c r="I378" s="8"/>
      <c r="J378" s="8"/>
      <c r="K378" s="8"/>
      <c r="L378" s="8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">
      <c r="A379" s="137" t="s">
        <v>11</v>
      </c>
      <c r="B379" s="138"/>
      <c r="C379" s="139"/>
      <c r="D379" s="184"/>
      <c r="E379" s="188"/>
      <c r="F379" s="189"/>
      <c r="G379" s="184"/>
      <c r="H379" s="8">
        <f>H380</f>
        <v>5805000</v>
      </c>
      <c r="I379" s="8">
        <f>SUM(I380:I380)</f>
        <v>900000</v>
      </c>
      <c r="J379" s="8">
        <f>SUM(J380:J380)</f>
        <v>4505000</v>
      </c>
      <c r="K379" s="8"/>
      <c r="L379" s="8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">
      <c r="A380" s="17"/>
      <c r="B380" s="162" t="s">
        <v>25</v>
      </c>
      <c r="C380" s="163"/>
      <c r="D380" s="185"/>
      <c r="E380" s="192"/>
      <c r="F380" s="193"/>
      <c r="G380" s="185"/>
      <c r="H380" s="8">
        <v>5805000</v>
      </c>
      <c r="I380" s="8">
        <v>900000</v>
      </c>
      <c r="J380" s="8">
        <v>4505000</v>
      </c>
      <c r="K380" s="8"/>
      <c r="L380" s="8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">
      <c r="A381" s="7"/>
      <c r="B381" s="20"/>
      <c r="C381" s="20"/>
      <c r="D381" s="7"/>
      <c r="E381" s="213"/>
      <c r="F381" s="214"/>
      <c r="G381" s="57"/>
      <c r="H381" s="8"/>
      <c r="I381" s="8"/>
      <c r="J381" s="8"/>
      <c r="K381" s="8"/>
      <c r="L381" s="8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s="50" customFormat="1" ht="29.25" customHeight="1">
      <c r="A382" s="215" t="s">
        <v>8</v>
      </c>
      <c r="B382" s="216"/>
      <c r="C382" s="216"/>
      <c r="D382" s="216"/>
      <c r="E382" s="216"/>
      <c r="F382" s="216"/>
      <c r="G382" s="217"/>
      <c r="H382" s="49">
        <f t="shared" ref="H382" si="144">SUM(H383:H384)</f>
        <v>8145634</v>
      </c>
      <c r="I382" s="49">
        <f t="shared" ref="I382:V382" si="145">SUM(I383:I384)</f>
        <v>3760080</v>
      </c>
      <c r="J382" s="49">
        <f t="shared" si="145"/>
        <v>1864051</v>
      </c>
      <c r="K382" s="49">
        <f t="shared" si="145"/>
        <v>1553165</v>
      </c>
      <c r="L382" s="49">
        <f t="shared" si="145"/>
        <v>19838</v>
      </c>
      <c r="M382" s="49">
        <f t="shared" si="145"/>
        <v>0</v>
      </c>
      <c r="N382" s="49">
        <f t="shared" si="145"/>
        <v>0</v>
      </c>
      <c r="O382" s="49">
        <f t="shared" si="145"/>
        <v>0</v>
      </c>
      <c r="P382" s="49">
        <f t="shared" si="145"/>
        <v>0</v>
      </c>
      <c r="Q382" s="49">
        <f t="shared" si="145"/>
        <v>0</v>
      </c>
      <c r="R382" s="49">
        <f t="shared" si="145"/>
        <v>0</v>
      </c>
      <c r="S382" s="49">
        <f t="shared" si="145"/>
        <v>0</v>
      </c>
      <c r="T382" s="49">
        <f t="shared" si="145"/>
        <v>0</v>
      </c>
      <c r="U382" s="49">
        <f t="shared" si="145"/>
        <v>0</v>
      </c>
      <c r="V382" s="49">
        <f t="shared" si="145"/>
        <v>0</v>
      </c>
      <c r="W382" s="64">
        <f>SUM(W385,W389,W394,W398,W402,W406,W410,W414,W418,W422,W426,W430,W434,W438,W442,W446,W450)</f>
        <v>3301663</v>
      </c>
    </row>
    <row r="383" spans="1:23" s="50" customFormat="1" ht="15">
      <c r="A383" s="210" t="s">
        <v>3</v>
      </c>
      <c r="B383" s="211"/>
      <c r="C383" s="212"/>
      <c r="D383" s="48"/>
      <c r="E383" s="208"/>
      <c r="F383" s="209"/>
      <c r="G383" s="58"/>
      <c r="H383" s="49">
        <f>SUM(H386,H390,H399,H403,H407,H411,H415,H419,H423,H427,H431,H435,H439,H443,H447,H451,H395)</f>
        <v>8145634</v>
      </c>
      <c r="I383" s="49">
        <f t="shared" ref="I383:V383" si="146">SUM(I386,I390,I399,I403,I407,I411,I415,I419,I423,I427,I431,I435,I439,I443,I447,I451,I395)</f>
        <v>3760080</v>
      </c>
      <c r="J383" s="49">
        <f t="shared" si="146"/>
        <v>1864051</v>
      </c>
      <c r="K383" s="49">
        <f t="shared" si="146"/>
        <v>1553165</v>
      </c>
      <c r="L383" s="49">
        <f t="shared" si="146"/>
        <v>19838</v>
      </c>
      <c r="M383" s="49">
        <f t="shared" si="146"/>
        <v>0</v>
      </c>
      <c r="N383" s="49">
        <f t="shared" si="146"/>
        <v>0</v>
      </c>
      <c r="O383" s="49">
        <f t="shared" si="146"/>
        <v>0</v>
      </c>
      <c r="P383" s="49">
        <f t="shared" si="146"/>
        <v>0</v>
      </c>
      <c r="Q383" s="49">
        <f t="shared" si="146"/>
        <v>0</v>
      </c>
      <c r="R383" s="49">
        <f t="shared" si="146"/>
        <v>0</v>
      </c>
      <c r="S383" s="49">
        <f t="shared" si="146"/>
        <v>0</v>
      </c>
      <c r="T383" s="49">
        <f t="shared" si="146"/>
        <v>0</v>
      </c>
      <c r="U383" s="49">
        <f t="shared" si="146"/>
        <v>0</v>
      </c>
      <c r="V383" s="49">
        <f t="shared" si="146"/>
        <v>0</v>
      </c>
      <c r="W383" s="49"/>
    </row>
    <row r="384" spans="1:23" s="50" customFormat="1" ht="15">
      <c r="A384" s="210" t="s">
        <v>4</v>
      </c>
      <c r="B384" s="211"/>
      <c r="C384" s="212"/>
      <c r="D384" s="48"/>
      <c r="E384" s="208"/>
      <c r="F384" s="209"/>
      <c r="G384" s="58"/>
      <c r="H384" s="49">
        <f>SUM(H388)</f>
        <v>0</v>
      </c>
      <c r="I384" s="49">
        <f t="shared" ref="I384:V384" si="147">SUM(I388)</f>
        <v>0</v>
      </c>
      <c r="J384" s="49">
        <f t="shared" si="147"/>
        <v>0</v>
      </c>
      <c r="K384" s="49">
        <f t="shared" si="147"/>
        <v>0</v>
      </c>
      <c r="L384" s="49">
        <f t="shared" si="147"/>
        <v>0</v>
      </c>
      <c r="M384" s="49">
        <f t="shared" si="147"/>
        <v>0</v>
      </c>
      <c r="N384" s="49">
        <f t="shared" si="147"/>
        <v>0</v>
      </c>
      <c r="O384" s="49">
        <f t="shared" si="147"/>
        <v>0</v>
      </c>
      <c r="P384" s="49">
        <f t="shared" si="147"/>
        <v>0</v>
      </c>
      <c r="Q384" s="49">
        <f t="shared" si="147"/>
        <v>0</v>
      </c>
      <c r="R384" s="49">
        <f t="shared" si="147"/>
        <v>0</v>
      </c>
      <c r="S384" s="49">
        <f t="shared" si="147"/>
        <v>0</v>
      </c>
      <c r="T384" s="49">
        <f t="shared" si="147"/>
        <v>0</v>
      </c>
      <c r="U384" s="49">
        <f t="shared" si="147"/>
        <v>0</v>
      </c>
      <c r="V384" s="49">
        <f t="shared" si="147"/>
        <v>0</v>
      </c>
      <c r="W384" s="49"/>
    </row>
    <row r="385" spans="1:23" s="68" customFormat="1" ht="45">
      <c r="A385" s="71">
        <v>1</v>
      </c>
      <c r="B385" s="71" t="s">
        <v>158</v>
      </c>
      <c r="C385" s="71" t="s">
        <v>159</v>
      </c>
      <c r="D385" s="167" t="s">
        <v>149</v>
      </c>
      <c r="E385" s="182" t="s">
        <v>36</v>
      </c>
      <c r="F385" s="157"/>
      <c r="G385" s="167" t="s">
        <v>123</v>
      </c>
      <c r="H385" s="72">
        <f>SUM(H386,H388)</f>
        <v>2811400</v>
      </c>
      <c r="I385" s="72">
        <f t="shared" ref="I385:K385" si="148">SUM(I386,I388)</f>
        <v>2319000</v>
      </c>
      <c r="J385" s="72">
        <f t="shared" si="148"/>
        <v>368200</v>
      </c>
      <c r="K385" s="72">
        <f t="shared" si="148"/>
        <v>124200</v>
      </c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41">
        <f>2811400-2424605</f>
        <v>386795</v>
      </c>
    </row>
    <row r="386" spans="1:23" s="68" customFormat="1" ht="15">
      <c r="A386" s="176" t="s">
        <v>12</v>
      </c>
      <c r="B386" s="165"/>
      <c r="C386" s="166"/>
      <c r="D386" s="168"/>
      <c r="E386" s="158"/>
      <c r="F386" s="159"/>
      <c r="G386" s="168"/>
      <c r="H386" s="70">
        <v>2811400</v>
      </c>
      <c r="I386" s="70">
        <f t="shared" ref="I386:K386" si="149">SUM(I387:I387)</f>
        <v>2319000</v>
      </c>
      <c r="J386" s="70">
        <f t="shared" si="149"/>
        <v>368200</v>
      </c>
      <c r="K386" s="70">
        <f t="shared" si="149"/>
        <v>124200</v>
      </c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5"/>
    </row>
    <row r="387" spans="1:23" s="68" customFormat="1" ht="15">
      <c r="A387" s="76"/>
      <c r="B387" s="177" t="s">
        <v>25</v>
      </c>
      <c r="C387" s="178"/>
      <c r="D387" s="168"/>
      <c r="E387" s="158"/>
      <c r="F387" s="159"/>
      <c r="G387" s="168"/>
      <c r="H387" s="70">
        <v>2811400</v>
      </c>
      <c r="I387" s="70">
        <v>2319000</v>
      </c>
      <c r="J387" s="70">
        <v>368200</v>
      </c>
      <c r="K387" s="70">
        <v>124200</v>
      </c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5"/>
    </row>
    <row r="388" spans="1:23" s="68" customFormat="1" ht="15">
      <c r="A388" s="179" t="s">
        <v>4</v>
      </c>
      <c r="B388" s="180"/>
      <c r="C388" s="181"/>
      <c r="D388" s="169"/>
      <c r="E388" s="160"/>
      <c r="F388" s="161"/>
      <c r="G388" s="169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5"/>
    </row>
    <row r="389" spans="1:23" s="68" customFormat="1" ht="78" customHeight="1">
      <c r="A389" s="71">
        <v>2</v>
      </c>
      <c r="B389" s="105" t="s">
        <v>173</v>
      </c>
      <c r="C389" s="71" t="s">
        <v>159</v>
      </c>
      <c r="D389" s="167" t="s">
        <v>186</v>
      </c>
      <c r="E389" s="182" t="s">
        <v>36</v>
      </c>
      <c r="F389" s="157"/>
      <c r="G389" s="167" t="s">
        <v>174</v>
      </c>
      <c r="H389" s="72">
        <f>SUM(H390,H393)</f>
        <v>3869021</v>
      </c>
      <c r="I389" s="72">
        <f t="shared" ref="I389:K389" si="150">SUM(I390,I393)</f>
        <v>967470</v>
      </c>
      <c r="J389" s="72">
        <f t="shared" si="150"/>
        <v>986819</v>
      </c>
      <c r="K389" s="72">
        <f t="shared" si="150"/>
        <v>966232</v>
      </c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41">
        <f>2920521-997256</f>
        <v>1923265</v>
      </c>
    </row>
    <row r="390" spans="1:23" s="68" customFormat="1" ht="15">
      <c r="A390" s="176" t="s">
        <v>12</v>
      </c>
      <c r="B390" s="165"/>
      <c r="C390" s="166"/>
      <c r="D390" s="168"/>
      <c r="E390" s="158"/>
      <c r="F390" s="159"/>
      <c r="G390" s="168"/>
      <c r="H390" s="70">
        <f>SUM(H391:H392)</f>
        <v>3869021</v>
      </c>
      <c r="I390" s="70">
        <f t="shared" ref="I390:K390" si="151">SUM(I391:I392)</f>
        <v>967470</v>
      </c>
      <c r="J390" s="70">
        <f t="shared" si="151"/>
        <v>986819</v>
      </c>
      <c r="K390" s="70">
        <f t="shared" si="151"/>
        <v>966232</v>
      </c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5"/>
    </row>
    <row r="391" spans="1:23" s="68" customFormat="1" ht="15">
      <c r="A391" s="17"/>
      <c r="B391" s="162" t="s">
        <v>25</v>
      </c>
      <c r="C391" s="163"/>
      <c r="D391" s="168"/>
      <c r="E391" s="158"/>
      <c r="F391" s="159"/>
      <c r="G391" s="168"/>
      <c r="H391" s="70">
        <v>983895</v>
      </c>
      <c r="I391" s="70">
        <v>253470</v>
      </c>
      <c r="J391" s="70">
        <v>258539</v>
      </c>
      <c r="K391" s="70">
        <v>223386</v>
      </c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5"/>
    </row>
    <row r="392" spans="1:23" s="68" customFormat="1" ht="15">
      <c r="A392" s="17"/>
      <c r="B392" s="162" t="s">
        <v>24</v>
      </c>
      <c r="C392" s="163"/>
      <c r="D392" s="168"/>
      <c r="E392" s="158"/>
      <c r="F392" s="159"/>
      <c r="G392" s="168"/>
      <c r="H392" s="70">
        <v>2885126</v>
      </c>
      <c r="I392" s="70">
        <v>714000</v>
      </c>
      <c r="J392" s="70">
        <v>728280</v>
      </c>
      <c r="K392" s="70">
        <v>742846</v>
      </c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5"/>
    </row>
    <row r="393" spans="1:23" s="68" customFormat="1" ht="15">
      <c r="A393" s="179" t="s">
        <v>4</v>
      </c>
      <c r="B393" s="180"/>
      <c r="C393" s="181"/>
      <c r="D393" s="169"/>
      <c r="E393" s="160"/>
      <c r="F393" s="161"/>
      <c r="G393" s="169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5"/>
    </row>
    <row r="394" spans="1:23" s="22" customFormat="1" ht="60">
      <c r="A394" s="85">
        <v>3</v>
      </c>
      <c r="B394" s="113" t="s">
        <v>283</v>
      </c>
      <c r="C394" s="85" t="s">
        <v>159</v>
      </c>
      <c r="D394" s="264" t="s">
        <v>271</v>
      </c>
      <c r="E394" s="147" t="s">
        <v>32</v>
      </c>
      <c r="F394" s="196"/>
      <c r="G394" s="264" t="s">
        <v>272</v>
      </c>
      <c r="H394" s="83">
        <f>SUM(H395,H397)</f>
        <v>36206</v>
      </c>
      <c r="I394" s="83">
        <f t="shared" ref="I394:L394" si="152">SUM(I395,I397)</f>
        <v>8654</v>
      </c>
      <c r="J394" s="83">
        <f t="shared" si="152"/>
        <v>8914</v>
      </c>
      <c r="K394" s="83">
        <f t="shared" si="152"/>
        <v>9181</v>
      </c>
      <c r="L394" s="83">
        <f t="shared" si="152"/>
        <v>9457</v>
      </c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>
        <v>27552</v>
      </c>
    </row>
    <row r="395" spans="1:23" s="22" customFormat="1" ht="15">
      <c r="A395" s="137" t="s">
        <v>12</v>
      </c>
      <c r="B395" s="138"/>
      <c r="C395" s="139"/>
      <c r="D395" s="145"/>
      <c r="E395" s="197"/>
      <c r="F395" s="198"/>
      <c r="G395" s="145"/>
      <c r="H395" s="74">
        <f>SUM(H396)</f>
        <v>36206</v>
      </c>
      <c r="I395" s="74">
        <f t="shared" ref="I395:L395" si="153">SUM(I396)</f>
        <v>8654</v>
      </c>
      <c r="J395" s="74">
        <f t="shared" si="153"/>
        <v>8914</v>
      </c>
      <c r="K395" s="74">
        <f t="shared" si="153"/>
        <v>9181</v>
      </c>
      <c r="L395" s="74">
        <f t="shared" si="153"/>
        <v>9457</v>
      </c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</row>
    <row r="396" spans="1:23" s="22" customFormat="1" ht="15">
      <c r="A396" s="112"/>
      <c r="B396" s="142" t="s">
        <v>25</v>
      </c>
      <c r="C396" s="143"/>
      <c r="D396" s="145"/>
      <c r="E396" s="197"/>
      <c r="F396" s="198"/>
      <c r="G396" s="145"/>
      <c r="H396" s="74">
        <v>36206</v>
      </c>
      <c r="I396" s="74">
        <v>8654</v>
      </c>
      <c r="J396" s="74">
        <v>8914</v>
      </c>
      <c r="K396" s="74">
        <v>9181</v>
      </c>
      <c r="L396" s="74">
        <v>9457</v>
      </c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</row>
    <row r="397" spans="1:23" s="22" customFormat="1" ht="15">
      <c r="A397" s="205" t="s">
        <v>4</v>
      </c>
      <c r="B397" s="206"/>
      <c r="C397" s="207"/>
      <c r="D397" s="146"/>
      <c r="E397" s="199"/>
      <c r="F397" s="200"/>
      <c r="G397" s="146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</row>
    <row r="398" spans="1:23" s="88" customFormat="1" ht="63" customHeight="1">
      <c r="A398" s="71">
        <v>4</v>
      </c>
      <c r="B398" s="71" t="s">
        <v>199</v>
      </c>
      <c r="C398" s="71" t="s">
        <v>159</v>
      </c>
      <c r="D398" s="167" t="s">
        <v>200</v>
      </c>
      <c r="E398" s="182" t="s">
        <v>201</v>
      </c>
      <c r="F398" s="157"/>
      <c r="G398" s="167" t="s">
        <v>202</v>
      </c>
      <c r="H398" s="86">
        <f>H399+H401</f>
        <v>702</v>
      </c>
      <c r="I398" s="86">
        <f t="shared" ref="I398:J398" si="154">I399+I401</f>
        <v>351</v>
      </c>
      <c r="J398" s="86">
        <f t="shared" si="154"/>
        <v>351</v>
      </c>
      <c r="K398" s="87"/>
      <c r="L398" s="86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9">
        <v>351</v>
      </c>
    </row>
    <row r="399" spans="1:23" s="88" customFormat="1" ht="15">
      <c r="A399" s="176" t="s">
        <v>12</v>
      </c>
      <c r="B399" s="165"/>
      <c r="C399" s="166"/>
      <c r="D399" s="168"/>
      <c r="E399" s="158"/>
      <c r="F399" s="159"/>
      <c r="G399" s="168"/>
      <c r="H399" s="86">
        <f>H400</f>
        <v>702</v>
      </c>
      <c r="I399" s="70">
        <f t="shared" ref="I399:J399" si="155">SUM(I400)</f>
        <v>351</v>
      </c>
      <c r="J399" s="70">
        <f t="shared" si="155"/>
        <v>351</v>
      </c>
      <c r="K399" s="70"/>
      <c r="L399" s="70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9"/>
    </row>
    <row r="400" spans="1:23" s="88" customFormat="1" ht="15">
      <c r="A400" s="76"/>
      <c r="B400" s="177" t="s">
        <v>25</v>
      </c>
      <c r="C400" s="178"/>
      <c r="D400" s="168"/>
      <c r="E400" s="158"/>
      <c r="F400" s="159"/>
      <c r="G400" s="168"/>
      <c r="H400" s="70">
        <f>SUM(I400:L400)</f>
        <v>702</v>
      </c>
      <c r="I400" s="70">
        <v>351</v>
      </c>
      <c r="J400" s="70">
        <v>351</v>
      </c>
      <c r="K400" s="70"/>
      <c r="L400" s="70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9"/>
    </row>
    <row r="401" spans="1:23" s="88" customFormat="1" ht="15">
      <c r="A401" s="179" t="s">
        <v>4</v>
      </c>
      <c r="B401" s="180"/>
      <c r="C401" s="181"/>
      <c r="D401" s="169"/>
      <c r="E401" s="160"/>
      <c r="F401" s="161"/>
      <c r="G401" s="169"/>
      <c r="H401" s="70"/>
      <c r="I401" s="70"/>
      <c r="J401" s="70"/>
      <c r="K401" s="70"/>
      <c r="L401" s="70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9"/>
    </row>
    <row r="402" spans="1:23" s="88" customFormat="1" ht="57" customHeight="1">
      <c r="A402" s="71">
        <v>5</v>
      </c>
      <c r="B402" s="71" t="s">
        <v>203</v>
      </c>
      <c r="C402" s="71" t="s">
        <v>159</v>
      </c>
      <c r="D402" s="167" t="s">
        <v>204</v>
      </c>
      <c r="E402" s="182" t="s">
        <v>205</v>
      </c>
      <c r="F402" s="157"/>
      <c r="G402" s="167" t="s">
        <v>202</v>
      </c>
      <c r="H402" s="86">
        <f>H403+H405</f>
        <v>36088</v>
      </c>
      <c r="I402" s="86">
        <f>I403+I405</f>
        <v>17901</v>
      </c>
      <c r="J402" s="86">
        <f t="shared" ref="J402:K402" si="156">J403+J405</f>
        <v>17901</v>
      </c>
      <c r="K402" s="86">
        <f t="shared" si="156"/>
        <v>286</v>
      </c>
      <c r="L402" s="86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9">
        <v>18187</v>
      </c>
    </row>
    <row r="403" spans="1:23" s="88" customFormat="1" ht="15">
      <c r="A403" s="176" t="s">
        <v>12</v>
      </c>
      <c r="B403" s="165"/>
      <c r="C403" s="166"/>
      <c r="D403" s="168"/>
      <c r="E403" s="158"/>
      <c r="F403" s="159"/>
      <c r="G403" s="168"/>
      <c r="H403" s="70">
        <f>H404</f>
        <v>36088</v>
      </c>
      <c r="I403" s="70">
        <f>SUM(I404)</f>
        <v>17901</v>
      </c>
      <c r="J403" s="70">
        <f t="shared" ref="J403:K403" si="157">SUM(J404)</f>
        <v>17901</v>
      </c>
      <c r="K403" s="70">
        <f t="shared" si="157"/>
        <v>286</v>
      </c>
      <c r="L403" s="70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9"/>
    </row>
    <row r="404" spans="1:23" s="88" customFormat="1" ht="15">
      <c r="A404" s="76"/>
      <c r="B404" s="177" t="s">
        <v>25</v>
      </c>
      <c r="C404" s="178"/>
      <c r="D404" s="168"/>
      <c r="E404" s="158"/>
      <c r="F404" s="159"/>
      <c r="G404" s="168"/>
      <c r="H404" s="70">
        <f>SUM(I404:L404)</f>
        <v>36088</v>
      </c>
      <c r="I404" s="70">
        <v>17901</v>
      </c>
      <c r="J404" s="70">
        <v>17901</v>
      </c>
      <c r="K404" s="70">
        <v>286</v>
      </c>
      <c r="L404" s="70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9"/>
    </row>
    <row r="405" spans="1:23" s="88" customFormat="1" ht="15">
      <c r="A405" s="179" t="s">
        <v>4</v>
      </c>
      <c r="B405" s="180"/>
      <c r="C405" s="181"/>
      <c r="D405" s="169"/>
      <c r="E405" s="160"/>
      <c r="F405" s="161"/>
      <c r="G405" s="169"/>
      <c r="H405" s="70"/>
      <c r="I405" s="70"/>
      <c r="J405" s="70"/>
      <c r="K405" s="70"/>
      <c r="L405" s="70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9"/>
    </row>
    <row r="406" spans="1:23" s="88" customFormat="1" ht="68.25" customHeight="1">
      <c r="A406" s="71">
        <v>6</v>
      </c>
      <c r="B406" s="71" t="s">
        <v>206</v>
      </c>
      <c r="C406" s="71" t="s">
        <v>159</v>
      </c>
      <c r="D406" s="167" t="s">
        <v>207</v>
      </c>
      <c r="E406" s="182" t="s">
        <v>205</v>
      </c>
      <c r="F406" s="157"/>
      <c r="G406" s="167" t="s">
        <v>202</v>
      </c>
      <c r="H406" s="86">
        <f>H407+H409</f>
        <v>13800</v>
      </c>
      <c r="I406" s="86">
        <f t="shared" ref="I406:K406" si="158">I407+I409</f>
        <v>4600</v>
      </c>
      <c r="J406" s="86">
        <f t="shared" si="158"/>
        <v>4600</v>
      </c>
      <c r="K406" s="86">
        <f t="shared" si="158"/>
        <v>4600</v>
      </c>
      <c r="L406" s="86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9">
        <v>9200</v>
      </c>
    </row>
    <row r="407" spans="1:23" s="88" customFormat="1" ht="15">
      <c r="A407" s="176" t="s">
        <v>12</v>
      </c>
      <c r="B407" s="165"/>
      <c r="C407" s="166"/>
      <c r="D407" s="168"/>
      <c r="E407" s="158"/>
      <c r="F407" s="159"/>
      <c r="G407" s="168"/>
      <c r="H407" s="70">
        <f>SUM(I407:L407)</f>
        <v>13800</v>
      </c>
      <c r="I407" s="70">
        <f t="shared" ref="I407:K407" si="159">SUM(I408)</f>
        <v>4600</v>
      </c>
      <c r="J407" s="70">
        <f t="shared" si="159"/>
        <v>4600</v>
      </c>
      <c r="K407" s="70">
        <f t="shared" si="159"/>
        <v>4600</v>
      </c>
      <c r="L407" s="70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9"/>
    </row>
    <row r="408" spans="1:23" s="88" customFormat="1" ht="15">
      <c r="A408" s="76"/>
      <c r="B408" s="177" t="s">
        <v>25</v>
      </c>
      <c r="C408" s="178"/>
      <c r="D408" s="168"/>
      <c r="E408" s="158"/>
      <c r="F408" s="159"/>
      <c r="G408" s="168"/>
      <c r="H408" s="70">
        <f>SUM(I408:L408)</f>
        <v>13800</v>
      </c>
      <c r="I408" s="70">
        <v>4600</v>
      </c>
      <c r="J408" s="70">
        <v>4600</v>
      </c>
      <c r="K408" s="70">
        <v>4600</v>
      </c>
      <c r="L408" s="70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9"/>
    </row>
    <row r="409" spans="1:23" s="88" customFormat="1" ht="15">
      <c r="A409" s="179" t="s">
        <v>4</v>
      </c>
      <c r="B409" s="180"/>
      <c r="C409" s="181"/>
      <c r="D409" s="169"/>
      <c r="E409" s="160"/>
      <c r="F409" s="161"/>
      <c r="G409" s="169"/>
      <c r="H409" s="70"/>
      <c r="I409" s="70"/>
      <c r="J409" s="70"/>
      <c r="K409" s="70"/>
      <c r="L409" s="70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9"/>
    </row>
    <row r="410" spans="1:23" s="88" customFormat="1" ht="68.25" customHeight="1">
      <c r="A410" s="71">
        <v>7</v>
      </c>
      <c r="B410" s="71" t="s">
        <v>208</v>
      </c>
      <c r="C410" s="71" t="s">
        <v>159</v>
      </c>
      <c r="D410" s="167" t="s">
        <v>209</v>
      </c>
      <c r="E410" s="182" t="s">
        <v>201</v>
      </c>
      <c r="F410" s="157"/>
      <c r="G410" s="167" t="s">
        <v>231</v>
      </c>
      <c r="H410" s="86">
        <f>H411+H413</f>
        <v>16374</v>
      </c>
      <c r="I410" s="86">
        <f t="shared" ref="I410:J410" si="160">I411+I413</f>
        <v>8112</v>
      </c>
      <c r="J410" s="86">
        <f t="shared" si="160"/>
        <v>8262</v>
      </c>
      <c r="K410" s="86"/>
      <c r="L410" s="86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9">
        <v>8262</v>
      </c>
    </row>
    <row r="411" spans="1:23" s="88" customFormat="1" ht="15">
      <c r="A411" s="176" t="s">
        <v>12</v>
      </c>
      <c r="B411" s="165"/>
      <c r="C411" s="166"/>
      <c r="D411" s="168"/>
      <c r="E411" s="158"/>
      <c r="F411" s="159"/>
      <c r="G411" s="168"/>
      <c r="H411" s="70">
        <f>SUM(I411:L411)</f>
        <v>16374</v>
      </c>
      <c r="I411" s="70">
        <f t="shared" ref="I411:J411" si="161">I412</f>
        <v>8112</v>
      </c>
      <c r="J411" s="70">
        <f t="shared" si="161"/>
        <v>8262</v>
      </c>
      <c r="K411" s="70"/>
      <c r="L411" s="70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9"/>
    </row>
    <row r="412" spans="1:23" s="88" customFormat="1" ht="15">
      <c r="A412" s="76"/>
      <c r="B412" s="177" t="s">
        <v>25</v>
      </c>
      <c r="C412" s="178"/>
      <c r="D412" s="168"/>
      <c r="E412" s="158"/>
      <c r="F412" s="159"/>
      <c r="G412" s="168"/>
      <c r="H412" s="70">
        <v>16374</v>
      </c>
      <c r="I412" s="70">
        <v>8112</v>
      </c>
      <c r="J412" s="70">
        <v>8262</v>
      </c>
      <c r="K412" s="70"/>
      <c r="L412" s="70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9"/>
    </row>
    <row r="413" spans="1:23" s="88" customFormat="1" ht="15">
      <c r="A413" s="179" t="s">
        <v>4</v>
      </c>
      <c r="B413" s="180"/>
      <c r="C413" s="181"/>
      <c r="D413" s="169"/>
      <c r="E413" s="160"/>
      <c r="F413" s="161"/>
      <c r="G413" s="169"/>
      <c r="H413" s="70"/>
      <c r="I413" s="70"/>
      <c r="J413" s="70"/>
      <c r="K413" s="70"/>
      <c r="L413" s="70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9"/>
    </row>
    <row r="414" spans="1:23" s="88" customFormat="1" ht="64.5" customHeight="1">
      <c r="A414" s="71">
        <v>8</v>
      </c>
      <c r="B414" s="71" t="s">
        <v>210</v>
      </c>
      <c r="C414" s="71" t="s">
        <v>159</v>
      </c>
      <c r="D414" s="167" t="s">
        <v>211</v>
      </c>
      <c r="E414" s="182" t="s">
        <v>205</v>
      </c>
      <c r="F414" s="157"/>
      <c r="G414" s="167" t="s">
        <v>212</v>
      </c>
      <c r="H414" s="86">
        <f>H415+H417</f>
        <v>148157</v>
      </c>
      <c r="I414" s="86">
        <f t="shared" ref="I414:K414" si="162">I415+I417</f>
        <v>47934</v>
      </c>
      <c r="J414" s="86">
        <f t="shared" si="162"/>
        <v>49371</v>
      </c>
      <c r="K414" s="86">
        <f t="shared" si="162"/>
        <v>50852</v>
      </c>
      <c r="L414" s="86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9">
        <v>100223</v>
      </c>
    </row>
    <row r="415" spans="1:23" s="88" customFormat="1" ht="15">
      <c r="A415" s="176" t="s">
        <v>12</v>
      </c>
      <c r="B415" s="165"/>
      <c r="C415" s="166"/>
      <c r="D415" s="168"/>
      <c r="E415" s="158"/>
      <c r="F415" s="159"/>
      <c r="G415" s="168"/>
      <c r="H415" s="70">
        <f>SUM(I415:L415)</f>
        <v>148157</v>
      </c>
      <c r="I415" s="70">
        <f t="shared" ref="I415:K415" si="163">I416</f>
        <v>47934</v>
      </c>
      <c r="J415" s="70">
        <f t="shared" si="163"/>
        <v>49371</v>
      </c>
      <c r="K415" s="70">
        <f t="shared" si="163"/>
        <v>50852</v>
      </c>
      <c r="L415" s="70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9"/>
    </row>
    <row r="416" spans="1:23" s="88" customFormat="1" ht="15">
      <c r="A416" s="76"/>
      <c r="B416" s="177" t="s">
        <v>25</v>
      </c>
      <c r="C416" s="178"/>
      <c r="D416" s="168"/>
      <c r="E416" s="158"/>
      <c r="F416" s="159"/>
      <c r="G416" s="168"/>
      <c r="H416" s="70">
        <f>SUM(I416:L416)</f>
        <v>148157</v>
      </c>
      <c r="I416" s="70">
        <v>47934</v>
      </c>
      <c r="J416" s="70">
        <v>49371</v>
      </c>
      <c r="K416" s="70">
        <v>50852</v>
      </c>
      <c r="L416" s="70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9"/>
    </row>
    <row r="417" spans="1:23" s="88" customFormat="1" ht="15">
      <c r="A417" s="179" t="s">
        <v>4</v>
      </c>
      <c r="B417" s="180"/>
      <c r="C417" s="181"/>
      <c r="D417" s="169"/>
      <c r="E417" s="160"/>
      <c r="F417" s="161"/>
      <c r="G417" s="169"/>
      <c r="H417" s="70"/>
      <c r="I417" s="70"/>
      <c r="J417" s="70"/>
      <c r="K417" s="70"/>
      <c r="L417" s="70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9"/>
    </row>
    <row r="418" spans="1:23" s="88" customFormat="1" ht="60">
      <c r="A418" s="71">
        <v>9</v>
      </c>
      <c r="B418" s="71" t="s">
        <v>213</v>
      </c>
      <c r="C418" s="71" t="s">
        <v>159</v>
      </c>
      <c r="D418" s="167" t="s">
        <v>214</v>
      </c>
      <c r="E418" s="182" t="s">
        <v>201</v>
      </c>
      <c r="F418" s="157"/>
      <c r="G418" s="167" t="s">
        <v>212</v>
      </c>
      <c r="H418" s="86">
        <f>H419+H421</f>
        <v>3000</v>
      </c>
      <c r="I418" s="86">
        <f t="shared" ref="I418:J418" si="164">I419+I421</f>
        <v>1500</v>
      </c>
      <c r="J418" s="86">
        <f t="shared" si="164"/>
        <v>1500</v>
      </c>
      <c r="K418" s="86"/>
      <c r="L418" s="86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9">
        <v>1500</v>
      </c>
    </row>
    <row r="419" spans="1:23" s="88" customFormat="1" ht="15">
      <c r="A419" s="176" t="s">
        <v>12</v>
      </c>
      <c r="B419" s="165"/>
      <c r="C419" s="166"/>
      <c r="D419" s="168"/>
      <c r="E419" s="158"/>
      <c r="F419" s="159"/>
      <c r="G419" s="168"/>
      <c r="H419" s="70">
        <f>SUM(I419:L419)</f>
        <v>3000</v>
      </c>
      <c r="I419" s="70">
        <f t="shared" ref="I419:J419" si="165">I420</f>
        <v>1500</v>
      </c>
      <c r="J419" s="70">
        <f t="shared" si="165"/>
        <v>1500</v>
      </c>
      <c r="K419" s="70"/>
      <c r="L419" s="70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9"/>
    </row>
    <row r="420" spans="1:23" s="88" customFormat="1" ht="15">
      <c r="A420" s="76"/>
      <c r="B420" s="177" t="s">
        <v>25</v>
      </c>
      <c r="C420" s="178"/>
      <c r="D420" s="168"/>
      <c r="E420" s="158"/>
      <c r="F420" s="159"/>
      <c r="G420" s="168"/>
      <c r="H420" s="70">
        <f>SUM(I420:L420)</f>
        <v>3000</v>
      </c>
      <c r="I420" s="70">
        <v>1500</v>
      </c>
      <c r="J420" s="70">
        <v>1500</v>
      </c>
      <c r="K420" s="70"/>
      <c r="L420" s="70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9"/>
    </row>
    <row r="421" spans="1:23" s="88" customFormat="1" ht="15">
      <c r="A421" s="179" t="s">
        <v>4</v>
      </c>
      <c r="B421" s="180"/>
      <c r="C421" s="181"/>
      <c r="D421" s="169"/>
      <c r="E421" s="160"/>
      <c r="F421" s="161"/>
      <c r="G421" s="169"/>
      <c r="H421" s="70"/>
      <c r="I421" s="70"/>
      <c r="J421" s="70"/>
      <c r="K421" s="70"/>
      <c r="L421" s="70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9"/>
    </row>
    <row r="422" spans="1:23" s="88" customFormat="1" ht="60">
      <c r="A422" s="71">
        <v>10</v>
      </c>
      <c r="B422" s="71" t="s">
        <v>215</v>
      </c>
      <c r="C422" s="71" t="s">
        <v>159</v>
      </c>
      <c r="D422" s="167" t="s">
        <v>216</v>
      </c>
      <c r="E422" s="182" t="s">
        <v>205</v>
      </c>
      <c r="F422" s="157"/>
      <c r="G422" s="167" t="s">
        <v>212</v>
      </c>
      <c r="H422" s="86">
        <f>H423+H425</f>
        <v>100304</v>
      </c>
      <c r="I422" s="86">
        <f t="shared" ref="I422:K422" si="166">I423+I425</f>
        <v>32450</v>
      </c>
      <c r="J422" s="86">
        <f t="shared" si="166"/>
        <v>33424</v>
      </c>
      <c r="K422" s="86">
        <f t="shared" si="166"/>
        <v>34430</v>
      </c>
      <c r="L422" s="86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9">
        <v>67854</v>
      </c>
    </row>
    <row r="423" spans="1:23" s="88" customFormat="1" ht="15">
      <c r="A423" s="176" t="s">
        <v>12</v>
      </c>
      <c r="B423" s="165"/>
      <c r="C423" s="166"/>
      <c r="D423" s="168"/>
      <c r="E423" s="158"/>
      <c r="F423" s="159"/>
      <c r="G423" s="168"/>
      <c r="H423" s="70">
        <f>SUM(I423:L423)</f>
        <v>100304</v>
      </c>
      <c r="I423" s="70">
        <f t="shared" ref="I423:K423" si="167">I424</f>
        <v>32450</v>
      </c>
      <c r="J423" s="70">
        <f t="shared" si="167"/>
        <v>33424</v>
      </c>
      <c r="K423" s="70">
        <f t="shared" si="167"/>
        <v>34430</v>
      </c>
      <c r="L423" s="70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9"/>
    </row>
    <row r="424" spans="1:23" s="88" customFormat="1" ht="15">
      <c r="A424" s="76"/>
      <c r="B424" s="177" t="s">
        <v>25</v>
      </c>
      <c r="C424" s="178"/>
      <c r="D424" s="168"/>
      <c r="E424" s="158"/>
      <c r="F424" s="159"/>
      <c r="G424" s="168"/>
      <c r="H424" s="70">
        <f>SUM(I424:L424)</f>
        <v>100304</v>
      </c>
      <c r="I424" s="70">
        <v>32450</v>
      </c>
      <c r="J424" s="70">
        <v>33424</v>
      </c>
      <c r="K424" s="70">
        <v>34430</v>
      </c>
      <c r="L424" s="70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9"/>
    </row>
    <row r="425" spans="1:23" s="88" customFormat="1" ht="15">
      <c r="A425" s="179" t="s">
        <v>4</v>
      </c>
      <c r="B425" s="180"/>
      <c r="C425" s="181"/>
      <c r="D425" s="169"/>
      <c r="E425" s="160"/>
      <c r="F425" s="161"/>
      <c r="G425" s="169"/>
      <c r="H425" s="70"/>
      <c r="I425" s="70"/>
      <c r="J425" s="70"/>
      <c r="K425" s="70"/>
      <c r="L425" s="70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9"/>
    </row>
    <row r="426" spans="1:23" s="88" customFormat="1" ht="60">
      <c r="A426" s="71">
        <v>11</v>
      </c>
      <c r="B426" s="71" t="s">
        <v>217</v>
      </c>
      <c r="C426" s="71" t="s">
        <v>159</v>
      </c>
      <c r="D426" s="167" t="s">
        <v>218</v>
      </c>
      <c r="E426" s="182" t="s">
        <v>219</v>
      </c>
      <c r="F426" s="157"/>
      <c r="G426" s="167" t="s">
        <v>212</v>
      </c>
      <c r="H426" s="86">
        <f>H427+H429</f>
        <v>39744</v>
      </c>
      <c r="I426" s="86">
        <f t="shared" ref="I426:L426" si="168">I427+I429</f>
        <v>9500</v>
      </c>
      <c r="J426" s="86">
        <f t="shared" si="168"/>
        <v>9785</v>
      </c>
      <c r="K426" s="86">
        <f t="shared" si="168"/>
        <v>10078</v>
      </c>
      <c r="L426" s="86">
        <f t="shared" si="168"/>
        <v>10381</v>
      </c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9">
        <v>30244</v>
      </c>
    </row>
    <row r="427" spans="1:23" s="88" customFormat="1" ht="15">
      <c r="A427" s="176" t="s">
        <v>12</v>
      </c>
      <c r="B427" s="165"/>
      <c r="C427" s="166"/>
      <c r="D427" s="168"/>
      <c r="E427" s="158"/>
      <c r="F427" s="159"/>
      <c r="G427" s="168"/>
      <c r="H427" s="70">
        <f>SUM(I427:L427)</f>
        <v>39744</v>
      </c>
      <c r="I427" s="70">
        <f t="shared" ref="I427:L427" si="169">I428</f>
        <v>9500</v>
      </c>
      <c r="J427" s="70">
        <f t="shared" si="169"/>
        <v>9785</v>
      </c>
      <c r="K427" s="70">
        <f t="shared" si="169"/>
        <v>10078</v>
      </c>
      <c r="L427" s="70">
        <f t="shared" si="169"/>
        <v>10381</v>
      </c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9"/>
    </row>
    <row r="428" spans="1:23" s="88" customFormat="1" ht="15">
      <c r="A428" s="76"/>
      <c r="B428" s="177" t="s">
        <v>25</v>
      </c>
      <c r="C428" s="178"/>
      <c r="D428" s="168"/>
      <c r="E428" s="158"/>
      <c r="F428" s="159"/>
      <c r="G428" s="168"/>
      <c r="H428" s="70">
        <f>SUM(I428:L428)</f>
        <v>39744</v>
      </c>
      <c r="I428" s="70">
        <v>9500</v>
      </c>
      <c r="J428" s="70">
        <v>9785</v>
      </c>
      <c r="K428" s="70">
        <v>10078</v>
      </c>
      <c r="L428" s="70">
        <v>10381</v>
      </c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9"/>
    </row>
    <row r="429" spans="1:23" s="88" customFormat="1" ht="15.75" customHeight="1">
      <c r="A429" s="179" t="s">
        <v>4</v>
      </c>
      <c r="B429" s="180"/>
      <c r="C429" s="181"/>
      <c r="D429" s="169"/>
      <c r="E429" s="160"/>
      <c r="F429" s="161"/>
      <c r="G429" s="169"/>
      <c r="H429" s="70"/>
      <c r="I429" s="70"/>
      <c r="J429" s="70"/>
      <c r="K429" s="70"/>
      <c r="L429" s="70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9"/>
    </row>
    <row r="430" spans="1:23" s="88" customFormat="1" ht="64.5" customHeight="1">
      <c r="A430" s="71">
        <v>12</v>
      </c>
      <c r="B430" s="71" t="s">
        <v>220</v>
      </c>
      <c r="C430" s="71" t="s">
        <v>159</v>
      </c>
      <c r="D430" s="167" t="s">
        <v>221</v>
      </c>
      <c r="E430" s="182" t="s">
        <v>201</v>
      </c>
      <c r="F430" s="157"/>
      <c r="G430" s="167" t="s">
        <v>212</v>
      </c>
      <c r="H430" s="86">
        <f>H431+H433</f>
        <v>720</v>
      </c>
      <c r="I430" s="86">
        <f t="shared" ref="I430:J430" si="170">I431+I433</f>
        <v>360</v>
      </c>
      <c r="J430" s="86">
        <f t="shared" si="170"/>
        <v>360</v>
      </c>
      <c r="K430" s="86"/>
      <c r="L430" s="86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9">
        <v>360</v>
      </c>
    </row>
    <row r="431" spans="1:23" s="88" customFormat="1" ht="15">
      <c r="A431" s="176" t="s">
        <v>12</v>
      </c>
      <c r="B431" s="165"/>
      <c r="C431" s="166"/>
      <c r="D431" s="168"/>
      <c r="E431" s="158"/>
      <c r="F431" s="159"/>
      <c r="G431" s="168"/>
      <c r="H431" s="70">
        <f>SUM(I431:L431)</f>
        <v>720</v>
      </c>
      <c r="I431" s="70">
        <f t="shared" ref="I431:J431" si="171">I432</f>
        <v>360</v>
      </c>
      <c r="J431" s="70">
        <f t="shared" si="171"/>
        <v>360</v>
      </c>
      <c r="K431" s="70"/>
      <c r="L431" s="70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9"/>
    </row>
    <row r="432" spans="1:23" s="88" customFormat="1" ht="15">
      <c r="A432" s="76"/>
      <c r="B432" s="177" t="s">
        <v>25</v>
      </c>
      <c r="C432" s="178"/>
      <c r="D432" s="168"/>
      <c r="E432" s="158"/>
      <c r="F432" s="159"/>
      <c r="G432" s="168"/>
      <c r="H432" s="70">
        <f>SUM(I432:L432)</f>
        <v>720</v>
      </c>
      <c r="I432" s="70">
        <v>360</v>
      </c>
      <c r="J432" s="70">
        <v>360</v>
      </c>
      <c r="K432" s="70"/>
      <c r="L432" s="70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9"/>
    </row>
    <row r="433" spans="1:23" s="88" customFormat="1" ht="15">
      <c r="A433" s="179" t="s">
        <v>4</v>
      </c>
      <c r="B433" s="180"/>
      <c r="C433" s="181"/>
      <c r="D433" s="169"/>
      <c r="E433" s="160"/>
      <c r="F433" s="161"/>
      <c r="G433" s="169"/>
      <c r="H433" s="70"/>
      <c r="I433" s="70"/>
      <c r="J433" s="70"/>
      <c r="K433" s="70"/>
      <c r="L433" s="70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9"/>
    </row>
    <row r="434" spans="1:23" s="88" customFormat="1" ht="60">
      <c r="A434" s="71">
        <v>13</v>
      </c>
      <c r="B434" s="71" t="s">
        <v>222</v>
      </c>
      <c r="C434" s="71" t="s">
        <v>159</v>
      </c>
      <c r="D434" s="167" t="s">
        <v>223</v>
      </c>
      <c r="E434" s="182" t="s">
        <v>205</v>
      </c>
      <c r="F434" s="157"/>
      <c r="G434" s="167" t="s">
        <v>224</v>
      </c>
      <c r="H434" s="86">
        <f>H435+H437</f>
        <v>319872</v>
      </c>
      <c r="I434" s="86">
        <f t="shared" ref="I434:K434" si="172">I435+I437</f>
        <v>111022</v>
      </c>
      <c r="J434" s="86">
        <f t="shared" si="172"/>
        <v>114390</v>
      </c>
      <c r="K434" s="86">
        <f t="shared" si="172"/>
        <v>94460</v>
      </c>
      <c r="L434" s="86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9">
        <v>208850</v>
      </c>
    </row>
    <row r="435" spans="1:23" s="88" customFormat="1" ht="15">
      <c r="A435" s="176" t="s">
        <v>12</v>
      </c>
      <c r="B435" s="165"/>
      <c r="C435" s="166"/>
      <c r="D435" s="168"/>
      <c r="E435" s="158"/>
      <c r="F435" s="159"/>
      <c r="G435" s="168"/>
      <c r="H435" s="70">
        <f>SUM(I435:L435)</f>
        <v>319872</v>
      </c>
      <c r="I435" s="70">
        <f t="shared" ref="I435:K435" si="173">I436</f>
        <v>111022</v>
      </c>
      <c r="J435" s="70">
        <f t="shared" si="173"/>
        <v>114390</v>
      </c>
      <c r="K435" s="70">
        <f t="shared" si="173"/>
        <v>94460</v>
      </c>
      <c r="L435" s="70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9"/>
    </row>
    <row r="436" spans="1:23" s="88" customFormat="1" ht="15">
      <c r="A436" s="76"/>
      <c r="B436" s="177" t="s">
        <v>25</v>
      </c>
      <c r="C436" s="178"/>
      <c r="D436" s="168"/>
      <c r="E436" s="158"/>
      <c r="F436" s="159"/>
      <c r="G436" s="168"/>
      <c r="H436" s="70">
        <f>SUM(I436:L436)</f>
        <v>319872</v>
      </c>
      <c r="I436" s="70">
        <v>111022</v>
      </c>
      <c r="J436" s="70">
        <v>114390</v>
      </c>
      <c r="K436" s="70">
        <v>94460</v>
      </c>
      <c r="L436" s="70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9"/>
    </row>
    <row r="437" spans="1:23" s="88" customFormat="1" ht="15">
      <c r="A437" s="179" t="s">
        <v>4</v>
      </c>
      <c r="B437" s="180"/>
      <c r="C437" s="181"/>
      <c r="D437" s="169"/>
      <c r="E437" s="160"/>
      <c r="F437" s="161"/>
      <c r="G437" s="169"/>
      <c r="H437" s="70"/>
      <c r="I437" s="70"/>
      <c r="J437" s="70"/>
      <c r="K437" s="70"/>
      <c r="L437" s="70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9"/>
    </row>
    <row r="438" spans="1:23" s="88" customFormat="1" ht="45" customHeight="1">
      <c r="A438" s="71">
        <v>14</v>
      </c>
      <c r="B438" s="71" t="s">
        <v>225</v>
      </c>
      <c r="C438" s="71" t="s">
        <v>159</v>
      </c>
      <c r="D438" s="167" t="s">
        <v>226</v>
      </c>
      <c r="E438" s="182" t="s">
        <v>205</v>
      </c>
      <c r="F438" s="157"/>
      <c r="G438" s="167" t="s">
        <v>227</v>
      </c>
      <c r="H438" s="86">
        <f>H439+H441</f>
        <v>408241</v>
      </c>
      <c r="I438" s="86">
        <f t="shared" ref="I438:K438" si="174">I439+I441</f>
        <v>132080</v>
      </c>
      <c r="J438" s="86">
        <f t="shared" si="174"/>
        <v>136042</v>
      </c>
      <c r="K438" s="86">
        <f t="shared" si="174"/>
        <v>140119</v>
      </c>
      <c r="L438" s="86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9">
        <v>276161</v>
      </c>
    </row>
    <row r="439" spans="1:23" s="88" customFormat="1" ht="15">
      <c r="A439" s="176" t="s">
        <v>12</v>
      </c>
      <c r="B439" s="165"/>
      <c r="C439" s="166"/>
      <c r="D439" s="168"/>
      <c r="E439" s="158"/>
      <c r="F439" s="159"/>
      <c r="G439" s="168"/>
      <c r="H439" s="70">
        <f>SUM(I439:L439)</f>
        <v>408241</v>
      </c>
      <c r="I439" s="70">
        <f t="shared" ref="I439:K439" si="175">I440</f>
        <v>132080</v>
      </c>
      <c r="J439" s="70">
        <f t="shared" si="175"/>
        <v>136042</v>
      </c>
      <c r="K439" s="70">
        <f t="shared" si="175"/>
        <v>140119</v>
      </c>
      <c r="L439" s="70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9"/>
    </row>
    <row r="440" spans="1:23" s="88" customFormat="1" ht="15">
      <c r="A440" s="76"/>
      <c r="B440" s="177" t="s">
        <v>25</v>
      </c>
      <c r="C440" s="178"/>
      <c r="D440" s="168"/>
      <c r="E440" s="158"/>
      <c r="F440" s="159"/>
      <c r="G440" s="168"/>
      <c r="H440" s="70">
        <f>SUM(I440:L440)</f>
        <v>408241</v>
      </c>
      <c r="I440" s="70">
        <v>132080</v>
      </c>
      <c r="J440" s="70">
        <v>136042</v>
      </c>
      <c r="K440" s="70">
        <v>140119</v>
      </c>
      <c r="L440" s="70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9"/>
    </row>
    <row r="441" spans="1:23" s="88" customFormat="1" ht="15">
      <c r="A441" s="179" t="s">
        <v>4</v>
      </c>
      <c r="B441" s="180"/>
      <c r="C441" s="181"/>
      <c r="D441" s="169"/>
      <c r="E441" s="160"/>
      <c r="F441" s="161"/>
      <c r="G441" s="169"/>
      <c r="H441" s="70"/>
      <c r="I441" s="70"/>
      <c r="J441" s="70"/>
      <c r="K441" s="70"/>
      <c r="L441" s="70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9"/>
    </row>
    <row r="442" spans="1:23" s="88" customFormat="1" ht="75">
      <c r="A442" s="71">
        <v>15</v>
      </c>
      <c r="B442" s="71" t="s">
        <v>228</v>
      </c>
      <c r="C442" s="71" t="s">
        <v>159</v>
      </c>
      <c r="D442" s="167" t="s">
        <v>229</v>
      </c>
      <c r="E442" s="182" t="s">
        <v>205</v>
      </c>
      <c r="F442" s="157"/>
      <c r="G442" s="167" t="s">
        <v>227</v>
      </c>
      <c r="H442" s="86">
        <f>H443+H445</f>
        <v>285599</v>
      </c>
      <c r="I442" s="86">
        <f t="shared" ref="I442:K442" si="176">I443+I445</f>
        <v>92400</v>
      </c>
      <c r="J442" s="86">
        <f t="shared" si="176"/>
        <v>95172</v>
      </c>
      <c r="K442" s="86">
        <f t="shared" si="176"/>
        <v>98027</v>
      </c>
      <c r="L442" s="86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9">
        <v>193199</v>
      </c>
    </row>
    <row r="443" spans="1:23" s="88" customFormat="1" ht="15">
      <c r="A443" s="176" t="s">
        <v>12</v>
      </c>
      <c r="B443" s="165"/>
      <c r="C443" s="166"/>
      <c r="D443" s="168"/>
      <c r="E443" s="158"/>
      <c r="F443" s="159"/>
      <c r="G443" s="168"/>
      <c r="H443" s="70">
        <f>SUM(I443:L443)</f>
        <v>285599</v>
      </c>
      <c r="I443" s="70">
        <f t="shared" ref="I443:K443" si="177">I444</f>
        <v>92400</v>
      </c>
      <c r="J443" s="70">
        <f t="shared" si="177"/>
        <v>95172</v>
      </c>
      <c r="K443" s="70">
        <f t="shared" si="177"/>
        <v>98027</v>
      </c>
      <c r="L443" s="70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9"/>
    </row>
    <row r="444" spans="1:23" s="88" customFormat="1" ht="15">
      <c r="A444" s="76"/>
      <c r="B444" s="177" t="s">
        <v>25</v>
      </c>
      <c r="C444" s="178"/>
      <c r="D444" s="168"/>
      <c r="E444" s="158"/>
      <c r="F444" s="159"/>
      <c r="G444" s="168"/>
      <c r="H444" s="70">
        <f>SUM(I444:L444)</f>
        <v>285599</v>
      </c>
      <c r="I444" s="70">
        <v>92400</v>
      </c>
      <c r="J444" s="70">
        <v>95172</v>
      </c>
      <c r="K444" s="70">
        <v>98027</v>
      </c>
      <c r="L444" s="70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9"/>
    </row>
    <row r="445" spans="1:23" s="88" customFormat="1" ht="15">
      <c r="A445" s="179" t="s">
        <v>4</v>
      </c>
      <c r="B445" s="180"/>
      <c r="C445" s="181"/>
      <c r="D445" s="169"/>
      <c r="E445" s="160"/>
      <c r="F445" s="161"/>
      <c r="G445" s="169"/>
      <c r="H445" s="70"/>
      <c r="I445" s="70"/>
      <c r="J445" s="70"/>
      <c r="K445" s="70"/>
      <c r="L445" s="70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9"/>
    </row>
    <row r="446" spans="1:23" s="88" customFormat="1" ht="45" customHeight="1">
      <c r="A446" s="71">
        <v>16</v>
      </c>
      <c r="B446" s="105" t="s">
        <v>230</v>
      </c>
      <c r="C446" s="71" t="s">
        <v>159</v>
      </c>
      <c r="D446" s="175" t="s">
        <v>293</v>
      </c>
      <c r="E446" s="182" t="s">
        <v>201</v>
      </c>
      <c r="F446" s="157"/>
      <c r="G446" s="167" t="s">
        <v>227</v>
      </c>
      <c r="H446" s="86">
        <f>H447+H449</f>
        <v>15706</v>
      </c>
      <c r="I446" s="86">
        <f t="shared" ref="I446:J446" si="178">I447+I449</f>
        <v>6746</v>
      </c>
      <c r="J446" s="86">
        <f t="shared" si="178"/>
        <v>8960</v>
      </c>
      <c r="K446" s="86"/>
      <c r="L446" s="86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9">
        <v>8960</v>
      </c>
    </row>
    <row r="447" spans="1:23" s="88" customFormat="1" ht="15">
      <c r="A447" s="176" t="s">
        <v>12</v>
      </c>
      <c r="B447" s="165"/>
      <c r="C447" s="166"/>
      <c r="D447" s="168"/>
      <c r="E447" s="158"/>
      <c r="F447" s="159"/>
      <c r="G447" s="168"/>
      <c r="H447" s="70">
        <f>SUM(I447:L447)</f>
        <v>15706</v>
      </c>
      <c r="I447" s="70">
        <f t="shared" ref="I447:J447" si="179">I448</f>
        <v>6746</v>
      </c>
      <c r="J447" s="70">
        <f t="shared" si="179"/>
        <v>8960</v>
      </c>
      <c r="K447" s="70"/>
      <c r="L447" s="70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9"/>
    </row>
    <row r="448" spans="1:23" s="88" customFormat="1" ht="15">
      <c r="A448" s="76"/>
      <c r="B448" s="177" t="s">
        <v>25</v>
      </c>
      <c r="C448" s="178"/>
      <c r="D448" s="168"/>
      <c r="E448" s="158"/>
      <c r="F448" s="159"/>
      <c r="G448" s="168"/>
      <c r="H448" s="70">
        <f>SUM(I448:L448)</f>
        <v>15706</v>
      </c>
      <c r="I448" s="70">
        <v>6746</v>
      </c>
      <c r="J448" s="70">
        <v>8960</v>
      </c>
      <c r="K448" s="70"/>
      <c r="L448" s="70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9"/>
    </row>
    <row r="449" spans="1:24" s="88" customFormat="1" ht="15">
      <c r="A449" s="179" t="s">
        <v>4</v>
      </c>
      <c r="B449" s="180"/>
      <c r="C449" s="181"/>
      <c r="D449" s="169"/>
      <c r="E449" s="160"/>
      <c r="F449" s="161"/>
      <c r="G449" s="169"/>
      <c r="H449" s="70"/>
      <c r="I449" s="70"/>
      <c r="J449" s="70"/>
      <c r="K449" s="70"/>
      <c r="L449" s="70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9"/>
    </row>
    <row r="450" spans="1:24" s="134" customFormat="1" ht="45" customHeight="1">
      <c r="A450" s="85">
        <v>17</v>
      </c>
      <c r="B450" s="113" t="s">
        <v>285</v>
      </c>
      <c r="C450" s="85" t="s">
        <v>159</v>
      </c>
      <c r="D450" s="264" t="s">
        <v>21</v>
      </c>
      <c r="E450" s="147" t="s">
        <v>265</v>
      </c>
      <c r="F450" s="196"/>
      <c r="G450" s="264" t="s">
        <v>137</v>
      </c>
      <c r="H450" s="132">
        <f>H451+H453</f>
        <v>40700</v>
      </c>
      <c r="I450" s="132"/>
      <c r="J450" s="132">
        <f t="shared" ref="J450:K450" si="180">J451+J453</f>
        <v>20000</v>
      </c>
      <c r="K450" s="132">
        <f t="shared" si="180"/>
        <v>20700</v>
      </c>
      <c r="L450" s="132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20">
        <v>40700</v>
      </c>
    </row>
    <row r="451" spans="1:24" s="134" customFormat="1" ht="15">
      <c r="A451" s="137" t="s">
        <v>12</v>
      </c>
      <c r="B451" s="138"/>
      <c r="C451" s="139"/>
      <c r="D451" s="145"/>
      <c r="E451" s="197"/>
      <c r="F451" s="198"/>
      <c r="G451" s="145"/>
      <c r="H451" s="74">
        <f>SUM(I451:L451)</f>
        <v>40700</v>
      </c>
      <c r="I451" s="74"/>
      <c r="J451" s="74">
        <f t="shared" ref="J451:K451" si="181">J452</f>
        <v>20000</v>
      </c>
      <c r="K451" s="74">
        <f t="shared" si="181"/>
        <v>20700</v>
      </c>
      <c r="L451" s="74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20"/>
    </row>
    <row r="452" spans="1:24" s="134" customFormat="1" ht="15">
      <c r="A452" s="112"/>
      <c r="B452" s="142" t="s">
        <v>25</v>
      </c>
      <c r="C452" s="143"/>
      <c r="D452" s="145"/>
      <c r="E452" s="197"/>
      <c r="F452" s="198"/>
      <c r="G452" s="145"/>
      <c r="H452" s="74">
        <f>SUM(I452:L452)</f>
        <v>40700</v>
      </c>
      <c r="I452" s="74"/>
      <c r="J452" s="74">
        <v>20000</v>
      </c>
      <c r="K452" s="74">
        <v>20700</v>
      </c>
      <c r="L452" s="74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20"/>
    </row>
    <row r="453" spans="1:24" s="134" customFormat="1" ht="15">
      <c r="A453" s="205" t="s">
        <v>4</v>
      </c>
      <c r="B453" s="206"/>
      <c r="C453" s="207"/>
      <c r="D453" s="146"/>
      <c r="E453" s="199"/>
      <c r="F453" s="200"/>
      <c r="G453" s="146"/>
      <c r="H453" s="74"/>
      <c r="I453" s="74"/>
      <c r="J453" s="74"/>
      <c r="K453" s="74"/>
      <c r="L453" s="74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20"/>
    </row>
    <row r="454" spans="1:24" s="36" customFormat="1" ht="15">
      <c r="A454" s="34"/>
      <c r="B454" s="37"/>
      <c r="C454" s="37"/>
      <c r="D454" s="34"/>
      <c r="E454" s="237"/>
      <c r="F454" s="238"/>
      <c r="G454" s="59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80"/>
    </row>
    <row r="455" spans="1:24" s="50" customFormat="1" ht="15">
      <c r="A455" s="215" t="s">
        <v>9</v>
      </c>
      <c r="B455" s="216"/>
      <c r="C455" s="216"/>
      <c r="D455" s="216"/>
      <c r="E455" s="216"/>
      <c r="F455" s="216"/>
      <c r="G455" s="217"/>
      <c r="H455" s="49">
        <f>H456</f>
        <v>102884209</v>
      </c>
      <c r="I455" s="49">
        <f>I456</f>
        <v>6178646</v>
      </c>
      <c r="J455" s="49">
        <f t="shared" ref="J455:V455" si="182">J456</f>
        <v>12223471</v>
      </c>
      <c r="K455" s="49">
        <f t="shared" si="182"/>
        <v>10458974</v>
      </c>
      <c r="L455" s="49">
        <f t="shared" si="182"/>
        <v>9112911</v>
      </c>
      <c r="M455" s="49">
        <f t="shared" si="182"/>
        <v>7561980</v>
      </c>
      <c r="N455" s="49">
        <f t="shared" si="182"/>
        <v>4960034</v>
      </c>
      <c r="O455" s="49">
        <f t="shared" si="182"/>
        <v>4956214</v>
      </c>
      <c r="P455" s="49">
        <f t="shared" si="182"/>
        <v>4519898</v>
      </c>
      <c r="Q455" s="49">
        <f t="shared" si="182"/>
        <v>4305543</v>
      </c>
      <c r="R455" s="49">
        <f t="shared" si="182"/>
        <v>4089403</v>
      </c>
      <c r="S455" s="49">
        <f t="shared" si="182"/>
        <v>3355668</v>
      </c>
      <c r="T455" s="49">
        <f t="shared" si="182"/>
        <v>141950</v>
      </c>
      <c r="U455" s="49">
        <f t="shared" si="182"/>
        <v>0</v>
      </c>
      <c r="V455" s="49">
        <f t="shared" si="182"/>
        <v>0</v>
      </c>
      <c r="W455" s="90">
        <f>SUM(W456)</f>
        <v>0</v>
      </c>
      <c r="X455" s="104"/>
    </row>
    <row r="456" spans="1:24" s="50" customFormat="1" ht="15">
      <c r="A456" s="210" t="s">
        <v>3</v>
      </c>
      <c r="B456" s="211"/>
      <c r="C456" s="212"/>
      <c r="D456" s="48"/>
      <c r="E456" s="208"/>
      <c r="F456" s="209"/>
      <c r="G456" s="58"/>
      <c r="H456" s="49">
        <f>SUM(H458,H461,H464,H467,H470,H473,H476)</f>
        <v>102884209</v>
      </c>
      <c r="I456" s="49">
        <f>SUM(I458,I461,I464,I467,I470,I473,I476)</f>
        <v>6178646</v>
      </c>
      <c r="J456" s="49">
        <f t="shared" ref="J456:V456" si="183">SUM(J458,J461,J464,J467,J470,J473,J476)</f>
        <v>12223471</v>
      </c>
      <c r="K456" s="49">
        <f t="shared" si="183"/>
        <v>10458974</v>
      </c>
      <c r="L456" s="49">
        <f t="shared" si="183"/>
        <v>9112911</v>
      </c>
      <c r="M456" s="49">
        <f t="shared" si="183"/>
        <v>7561980</v>
      </c>
      <c r="N456" s="49">
        <f t="shared" si="183"/>
        <v>4960034</v>
      </c>
      <c r="O456" s="49">
        <f t="shared" si="183"/>
        <v>4956214</v>
      </c>
      <c r="P456" s="49">
        <f t="shared" si="183"/>
        <v>4519898</v>
      </c>
      <c r="Q456" s="49">
        <f t="shared" si="183"/>
        <v>4305543</v>
      </c>
      <c r="R456" s="49">
        <f t="shared" si="183"/>
        <v>4089403</v>
      </c>
      <c r="S456" s="49">
        <f t="shared" si="183"/>
        <v>3355668</v>
      </c>
      <c r="T456" s="49">
        <f t="shared" si="183"/>
        <v>141950</v>
      </c>
      <c r="U456" s="49">
        <f t="shared" si="183"/>
        <v>0</v>
      </c>
      <c r="V456" s="49">
        <f t="shared" si="183"/>
        <v>0</v>
      </c>
      <c r="W456" s="64">
        <v>0</v>
      </c>
    </row>
    <row r="457" spans="1:24" s="36" customFormat="1" ht="183.75" customHeight="1">
      <c r="A457" s="39">
        <v>1</v>
      </c>
      <c r="B457" s="107" t="s">
        <v>87</v>
      </c>
      <c r="C457" s="40" t="s">
        <v>148</v>
      </c>
      <c r="D457" s="183" t="s">
        <v>19</v>
      </c>
      <c r="E457" s="186" t="s">
        <v>31</v>
      </c>
      <c r="F457" s="187"/>
      <c r="G457" s="183" t="s">
        <v>139</v>
      </c>
      <c r="H457" s="41">
        <v>36773446</v>
      </c>
      <c r="I457" s="41">
        <f t="shared" ref="I457:S458" si="184">SUM(I458)</f>
        <v>2098748</v>
      </c>
      <c r="J457" s="41">
        <f t="shared" si="184"/>
        <v>3155672</v>
      </c>
      <c r="K457" s="41">
        <f t="shared" si="184"/>
        <v>3040185</v>
      </c>
      <c r="L457" s="41">
        <f t="shared" si="184"/>
        <v>2924847</v>
      </c>
      <c r="M457" s="41">
        <f t="shared" si="184"/>
        <v>2578840</v>
      </c>
      <c r="N457" s="41">
        <f t="shared" si="184"/>
        <v>2703629</v>
      </c>
      <c r="O457" s="41">
        <f t="shared" si="184"/>
        <v>2799640</v>
      </c>
      <c r="P457" s="41">
        <f t="shared" si="184"/>
        <v>2463154</v>
      </c>
      <c r="Q457" s="41">
        <f t="shared" si="184"/>
        <v>2347832</v>
      </c>
      <c r="R457" s="41">
        <f t="shared" si="184"/>
        <v>2232320</v>
      </c>
      <c r="S457" s="41">
        <f t="shared" si="184"/>
        <v>1598416</v>
      </c>
      <c r="T457" s="41"/>
      <c r="U457" s="41"/>
      <c r="V457" s="41"/>
      <c r="W457" s="41">
        <v>0</v>
      </c>
    </row>
    <row r="458" spans="1:24" ht="15">
      <c r="A458" s="176" t="s">
        <v>12</v>
      </c>
      <c r="B458" s="165"/>
      <c r="C458" s="166"/>
      <c r="D458" s="184"/>
      <c r="E458" s="188"/>
      <c r="F458" s="189"/>
      <c r="G458" s="184"/>
      <c r="H458" s="8">
        <v>36773446</v>
      </c>
      <c r="I458" s="8">
        <f t="shared" si="184"/>
        <v>2098748</v>
      </c>
      <c r="J458" s="8">
        <f t="shared" si="184"/>
        <v>3155672</v>
      </c>
      <c r="K458" s="8">
        <f t="shared" si="184"/>
        <v>3040185</v>
      </c>
      <c r="L458" s="8">
        <f t="shared" si="184"/>
        <v>2924847</v>
      </c>
      <c r="M458" s="8">
        <f t="shared" si="184"/>
        <v>2578840</v>
      </c>
      <c r="N458" s="8">
        <f t="shared" si="184"/>
        <v>2703629</v>
      </c>
      <c r="O458" s="8">
        <f t="shared" si="184"/>
        <v>2799640</v>
      </c>
      <c r="P458" s="8">
        <f t="shared" si="184"/>
        <v>2463154</v>
      </c>
      <c r="Q458" s="8">
        <f t="shared" si="184"/>
        <v>2347832</v>
      </c>
      <c r="R458" s="8">
        <f t="shared" si="184"/>
        <v>2232320</v>
      </c>
      <c r="S458" s="8">
        <f t="shared" si="184"/>
        <v>1598416</v>
      </c>
      <c r="T458" s="8"/>
      <c r="U458" s="8"/>
      <c r="V458" s="8"/>
      <c r="W458" s="9"/>
    </row>
    <row r="459" spans="1:24" ht="15">
      <c r="A459" s="17"/>
      <c r="B459" s="162" t="s">
        <v>25</v>
      </c>
      <c r="C459" s="163"/>
      <c r="D459" s="185"/>
      <c r="E459" s="192"/>
      <c r="F459" s="193"/>
      <c r="G459" s="185"/>
      <c r="H459" s="8">
        <v>36773446</v>
      </c>
      <c r="I459" s="8">
        <v>2098748</v>
      </c>
      <c r="J459" s="8">
        <v>3155672</v>
      </c>
      <c r="K459" s="8">
        <v>3040185</v>
      </c>
      <c r="L459" s="8">
        <v>2924847</v>
      </c>
      <c r="M459" s="8">
        <v>2578840</v>
      </c>
      <c r="N459" s="8">
        <v>2703629</v>
      </c>
      <c r="O459" s="8">
        <v>2799640</v>
      </c>
      <c r="P459" s="8">
        <v>2463154</v>
      </c>
      <c r="Q459" s="8">
        <v>2347832</v>
      </c>
      <c r="R459" s="8">
        <v>2232320</v>
      </c>
      <c r="S459" s="8">
        <v>1598416</v>
      </c>
      <c r="T459" s="8"/>
      <c r="U459" s="8"/>
      <c r="V459" s="8"/>
      <c r="W459" s="9"/>
    </row>
    <row r="460" spans="1:24" ht="168" customHeight="1">
      <c r="A460" s="10">
        <v>2</v>
      </c>
      <c r="B460" s="108" t="s">
        <v>88</v>
      </c>
      <c r="C460" s="16" t="s">
        <v>89</v>
      </c>
      <c r="D460" s="183" t="s">
        <v>16</v>
      </c>
      <c r="E460" s="186" t="s">
        <v>27</v>
      </c>
      <c r="F460" s="187"/>
      <c r="G460" s="183" t="s">
        <v>139</v>
      </c>
      <c r="H460" s="11">
        <v>9755170</v>
      </c>
      <c r="I460" s="11">
        <f t="shared" ref="I460:K460" si="185">SUM(I461)</f>
        <v>1035182</v>
      </c>
      <c r="J460" s="11">
        <f t="shared" si="185"/>
        <v>1676125</v>
      </c>
      <c r="K460" s="11">
        <f t="shared" si="185"/>
        <v>405907</v>
      </c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72">
        <v>0</v>
      </c>
    </row>
    <row r="461" spans="1:24" ht="15">
      <c r="A461" s="176" t="s">
        <v>12</v>
      </c>
      <c r="B461" s="165"/>
      <c r="C461" s="166"/>
      <c r="D461" s="184"/>
      <c r="E461" s="188"/>
      <c r="F461" s="189"/>
      <c r="G461" s="184"/>
      <c r="H461" s="8">
        <v>9755170</v>
      </c>
      <c r="I461" s="8">
        <f>SUM(I462:I462)</f>
        <v>1035182</v>
      </c>
      <c r="J461" s="8">
        <f>SUM(J462:J462)</f>
        <v>1676125</v>
      </c>
      <c r="K461" s="8">
        <f>SUM(K462:K462)</f>
        <v>405907</v>
      </c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9"/>
    </row>
    <row r="462" spans="1:24" ht="15">
      <c r="A462" s="17"/>
      <c r="B462" s="162" t="s">
        <v>25</v>
      </c>
      <c r="C462" s="163"/>
      <c r="D462" s="185"/>
      <c r="E462" s="192"/>
      <c r="F462" s="193"/>
      <c r="G462" s="185"/>
      <c r="H462" s="8">
        <v>9755170</v>
      </c>
      <c r="I462" s="8">
        <v>1035182</v>
      </c>
      <c r="J462" s="8">
        <v>1676125</v>
      </c>
      <c r="K462" s="8">
        <v>405907</v>
      </c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9"/>
    </row>
    <row r="463" spans="1:24" ht="150" customHeight="1">
      <c r="A463" s="10">
        <v>3</v>
      </c>
      <c r="B463" s="105" t="s">
        <v>91</v>
      </c>
      <c r="C463" s="10" t="s">
        <v>90</v>
      </c>
      <c r="D463" s="218" t="s">
        <v>17</v>
      </c>
      <c r="E463" s="186" t="s">
        <v>30</v>
      </c>
      <c r="F463" s="187"/>
      <c r="G463" s="183" t="s">
        <v>139</v>
      </c>
      <c r="H463" s="11">
        <v>35924535</v>
      </c>
      <c r="I463" s="11">
        <f t="shared" ref="I463:T463" si="186">SUM(I464)</f>
        <v>1653303</v>
      </c>
      <c r="J463" s="11">
        <f t="shared" si="186"/>
        <v>2655727</v>
      </c>
      <c r="K463" s="11">
        <f t="shared" si="186"/>
        <v>2555896</v>
      </c>
      <c r="L463" s="11">
        <f t="shared" si="186"/>
        <v>2456066</v>
      </c>
      <c r="M463" s="11">
        <f t="shared" si="186"/>
        <v>2358127</v>
      </c>
      <c r="N463" s="11">
        <f t="shared" si="186"/>
        <v>2256405</v>
      </c>
      <c r="O463" s="11">
        <f t="shared" si="186"/>
        <v>2156574</v>
      </c>
      <c r="P463" s="11">
        <f t="shared" si="186"/>
        <v>2056744</v>
      </c>
      <c r="Q463" s="11">
        <f t="shared" si="186"/>
        <v>1957711</v>
      </c>
      <c r="R463" s="11">
        <f t="shared" si="186"/>
        <v>1857083</v>
      </c>
      <c r="S463" s="11">
        <f t="shared" si="186"/>
        <v>1757252</v>
      </c>
      <c r="T463" s="11">
        <f t="shared" si="186"/>
        <v>141950</v>
      </c>
      <c r="U463" s="11"/>
      <c r="V463" s="11"/>
      <c r="W463" s="72">
        <v>0</v>
      </c>
    </row>
    <row r="464" spans="1:24" ht="15">
      <c r="A464" s="176" t="s">
        <v>12</v>
      </c>
      <c r="B464" s="165"/>
      <c r="C464" s="166"/>
      <c r="D464" s="219"/>
      <c r="E464" s="188"/>
      <c r="F464" s="189"/>
      <c r="G464" s="184"/>
      <c r="H464" s="8">
        <v>35924535</v>
      </c>
      <c r="I464" s="8">
        <f t="shared" ref="I464:T464" si="187">SUM(I465:I465)</f>
        <v>1653303</v>
      </c>
      <c r="J464" s="8">
        <f t="shared" si="187"/>
        <v>2655727</v>
      </c>
      <c r="K464" s="8">
        <f t="shared" si="187"/>
        <v>2555896</v>
      </c>
      <c r="L464" s="8">
        <f t="shared" si="187"/>
        <v>2456066</v>
      </c>
      <c r="M464" s="8">
        <f t="shared" si="187"/>
        <v>2358127</v>
      </c>
      <c r="N464" s="8">
        <f t="shared" si="187"/>
        <v>2256405</v>
      </c>
      <c r="O464" s="8">
        <f t="shared" si="187"/>
        <v>2156574</v>
      </c>
      <c r="P464" s="8">
        <f t="shared" si="187"/>
        <v>2056744</v>
      </c>
      <c r="Q464" s="8">
        <f t="shared" si="187"/>
        <v>1957711</v>
      </c>
      <c r="R464" s="8">
        <f t="shared" si="187"/>
        <v>1857083</v>
      </c>
      <c r="S464" s="8">
        <f t="shared" si="187"/>
        <v>1757252</v>
      </c>
      <c r="T464" s="8">
        <f t="shared" si="187"/>
        <v>141950</v>
      </c>
      <c r="U464" s="8"/>
      <c r="V464" s="8"/>
      <c r="W464" s="9"/>
    </row>
    <row r="465" spans="1:23" ht="15">
      <c r="A465" s="17"/>
      <c r="B465" s="162" t="s">
        <v>25</v>
      </c>
      <c r="C465" s="163"/>
      <c r="D465" s="220"/>
      <c r="E465" s="192"/>
      <c r="F465" s="193"/>
      <c r="G465" s="185"/>
      <c r="H465" s="8">
        <v>35924535</v>
      </c>
      <c r="I465" s="8">
        <v>1653303</v>
      </c>
      <c r="J465" s="8">
        <v>2655727</v>
      </c>
      <c r="K465" s="8">
        <v>2555896</v>
      </c>
      <c r="L465" s="8">
        <v>2456066</v>
      </c>
      <c r="M465" s="8">
        <v>2358127</v>
      </c>
      <c r="N465" s="8">
        <v>2256405</v>
      </c>
      <c r="O465" s="8">
        <v>2156574</v>
      </c>
      <c r="P465" s="8">
        <v>2056744</v>
      </c>
      <c r="Q465" s="8">
        <v>1957711</v>
      </c>
      <c r="R465" s="8">
        <v>1857083</v>
      </c>
      <c r="S465" s="8">
        <v>1757252</v>
      </c>
      <c r="T465" s="8">
        <v>141950</v>
      </c>
      <c r="U465" s="8"/>
      <c r="V465" s="8"/>
      <c r="W465" s="9"/>
    </row>
    <row r="466" spans="1:23" ht="168" customHeight="1">
      <c r="A466" s="10">
        <v>4</v>
      </c>
      <c r="B466" s="108" t="s">
        <v>92</v>
      </c>
      <c r="C466" s="16" t="s">
        <v>93</v>
      </c>
      <c r="D466" s="183" t="s">
        <v>18</v>
      </c>
      <c r="E466" s="186" t="s">
        <v>29</v>
      </c>
      <c r="F466" s="187"/>
      <c r="G466" s="183" t="s">
        <v>139</v>
      </c>
      <c r="H466" s="11">
        <v>3232525</v>
      </c>
      <c r="I466" s="11">
        <f t="shared" ref="I466:J466" si="188">SUM(I467)</f>
        <v>611035</v>
      </c>
      <c r="J466" s="11">
        <f t="shared" si="188"/>
        <v>766530</v>
      </c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72">
        <v>0</v>
      </c>
    </row>
    <row r="467" spans="1:23" ht="15">
      <c r="A467" s="176" t="s">
        <v>12</v>
      </c>
      <c r="B467" s="165"/>
      <c r="C467" s="166"/>
      <c r="D467" s="184"/>
      <c r="E467" s="188"/>
      <c r="F467" s="189"/>
      <c r="G467" s="184"/>
      <c r="H467" s="8">
        <v>3232525</v>
      </c>
      <c r="I467" s="8">
        <f>SUM(I468:I468)</f>
        <v>611035</v>
      </c>
      <c r="J467" s="8">
        <f>SUM(J468:J468)</f>
        <v>766530</v>
      </c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9"/>
    </row>
    <row r="468" spans="1:23" ht="15">
      <c r="A468" s="17"/>
      <c r="B468" s="162" t="s">
        <v>25</v>
      </c>
      <c r="C468" s="163"/>
      <c r="D468" s="185"/>
      <c r="E468" s="192"/>
      <c r="F468" s="193"/>
      <c r="G468" s="185"/>
      <c r="H468" s="8">
        <v>3232525</v>
      </c>
      <c r="I468" s="8">
        <v>611035</v>
      </c>
      <c r="J468" s="8">
        <v>766530</v>
      </c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9"/>
    </row>
    <row r="469" spans="1:23" ht="167.25" customHeight="1">
      <c r="A469" s="10">
        <v>5</v>
      </c>
      <c r="B469" s="108" t="s">
        <v>95</v>
      </c>
      <c r="C469" s="16" t="s">
        <v>94</v>
      </c>
      <c r="D469" s="218" t="s">
        <v>16</v>
      </c>
      <c r="E469" s="186" t="s">
        <v>28</v>
      </c>
      <c r="F469" s="187"/>
      <c r="G469" s="183" t="s">
        <v>139</v>
      </c>
      <c r="H469" s="11">
        <v>14543603</v>
      </c>
      <c r="I469" s="11">
        <f t="shared" ref="I469:M469" si="189">SUM(I470)</f>
        <v>294570</v>
      </c>
      <c r="J469" s="11">
        <f t="shared" si="189"/>
        <v>3121644</v>
      </c>
      <c r="K469" s="11">
        <f t="shared" si="189"/>
        <v>3816457</v>
      </c>
      <c r="L469" s="11">
        <f t="shared" si="189"/>
        <v>3647094</v>
      </c>
      <c r="M469" s="11">
        <f t="shared" si="189"/>
        <v>2625013</v>
      </c>
      <c r="N469" s="11"/>
      <c r="O469" s="11"/>
      <c r="P469" s="11"/>
      <c r="Q469" s="11"/>
      <c r="R469" s="11"/>
      <c r="S469" s="11"/>
      <c r="T469" s="11"/>
      <c r="U469" s="11"/>
      <c r="V469" s="11"/>
      <c r="W469" s="72">
        <v>0</v>
      </c>
    </row>
    <row r="470" spans="1:23" ht="15">
      <c r="A470" s="176" t="s">
        <v>12</v>
      </c>
      <c r="B470" s="165"/>
      <c r="C470" s="166"/>
      <c r="D470" s="219"/>
      <c r="E470" s="188"/>
      <c r="F470" s="189"/>
      <c r="G470" s="184"/>
      <c r="H470" s="8">
        <v>14543603</v>
      </c>
      <c r="I470" s="8">
        <f t="shared" ref="I470:M470" si="190">SUM(I471:I471)</f>
        <v>294570</v>
      </c>
      <c r="J470" s="8">
        <f t="shared" si="190"/>
        <v>3121644</v>
      </c>
      <c r="K470" s="8">
        <f t="shared" si="190"/>
        <v>3816457</v>
      </c>
      <c r="L470" s="8">
        <f t="shared" si="190"/>
        <v>3647094</v>
      </c>
      <c r="M470" s="8">
        <f t="shared" si="190"/>
        <v>2625013</v>
      </c>
      <c r="N470" s="8"/>
      <c r="O470" s="8"/>
      <c r="P470" s="8"/>
      <c r="Q470" s="8"/>
      <c r="R470" s="8"/>
      <c r="S470" s="8"/>
      <c r="T470" s="8"/>
      <c r="U470" s="8"/>
      <c r="V470" s="8"/>
      <c r="W470" s="9"/>
    </row>
    <row r="471" spans="1:23" ht="15">
      <c r="A471" s="17"/>
      <c r="B471" s="162" t="s">
        <v>25</v>
      </c>
      <c r="C471" s="163"/>
      <c r="D471" s="220"/>
      <c r="E471" s="192"/>
      <c r="F471" s="193"/>
      <c r="G471" s="185"/>
      <c r="H471" s="8">
        <v>14543603</v>
      </c>
      <c r="I471" s="8">
        <v>294570</v>
      </c>
      <c r="J471" s="8">
        <v>3121644</v>
      </c>
      <c r="K471" s="8">
        <v>3816457</v>
      </c>
      <c r="L471" s="8">
        <v>3647094</v>
      </c>
      <c r="M471" s="8">
        <v>2625013</v>
      </c>
      <c r="N471" s="8"/>
      <c r="O471" s="8"/>
      <c r="P471" s="8"/>
      <c r="Q471" s="8"/>
      <c r="R471" s="8"/>
      <c r="S471" s="8"/>
      <c r="T471" s="8"/>
      <c r="U471" s="8"/>
      <c r="V471" s="8"/>
      <c r="W471" s="9"/>
    </row>
    <row r="472" spans="1:23" s="68" customFormat="1" ht="169.5" customHeight="1">
      <c r="A472" s="71">
        <v>6</v>
      </c>
      <c r="B472" s="108" t="s">
        <v>165</v>
      </c>
      <c r="C472" s="73" t="s">
        <v>166</v>
      </c>
      <c r="D472" s="218" t="s">
        <v>18</v>
      </c>
      <c r="E472" s="186" t="s">
        <v>36</v>
      </c>
      <c r="F472" s="187"/>
      <c r="G472" s="183" t="s">
        <v>139</v>
      </c>
      <c r="H472" s="72">
        <v>2258075</v>
      </c>
      <c r="I472" s="72">
        <f t="shared" ref="I472:K472" si="191">SUM(I473)</f>
        <v>469673</v>
      </c>
      <c r="J472" s="72">
        <f t="shared" si="191"/>
        <v>734092</v>
      </c>
      <c r="K472" s="72">
        <f t="shared" si="191"/>
        <v>458394</v>
      </c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>
        <v>0</v>
      </c>
    </row>
    <row r="473" spans="1:23" s="68" customFormat="1" ht="15">
      <c r="A473" s="176" t="s">
        <v>12</v>
      </c>
      <c r="B473" s="165"/>
      <c r="C473" s="166"/>
      <c r="D473" s="219"/>
      <c r="E473" s="188"/>
      <c r="F473" s="189"/>
      <c r="G473" s="184"/>
      <c r="H473" s="70">
        <v>2258075</v>
      </c>
      <c r="I473" s="70">
        <f t="shared" ref="I473:K473" si="192">SUM(I474:I474)</f>
        <v>469673</v>
      </c>
      <c r="J473" s="70">
        <f t="shared" si="192"/>
        <v>734092</v>
      </c>
      <c r="K473" s="70">
        <f t="shared" si="192"/>
        <v>458394</v>
      </c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</row>
    <row r="474" spans="1:23" s="68" customFormat="1" ht="15">
      <c r="A474" s="17"/>
      <c r="B474" s="162" t="s">
        <v>25</v>
      </c>
      <c r="C474" s="163"/>
      <c r="D474" s="220"/>
      <c r="E474" s="192"/>
      <c r="F474" s="193"/>
      <c r="G474" s="185"/>
      <c r="H474" s="70">
        <v>2258075</v>
      </c>
      <c r="I474" s="70">
        <v>469673</v>
      </c>
      <c r="J474" s="70">
        <v>734092</v>
      </c>
      <c r="K474" s="70">
        <v>458394</v>
      </c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</row>
    <row r="475" spans="1:23" s="22" customFormat="1" ht="169.5" customHeight="1">
      <c r="A475" s="85">
        <v>7</v>
      </c>
      <c r="B475" s="135" t="s">
        <v>286</v>
      </c>
      <c r="C475" s="135" t="s">
        <v>259</v>
      </c>
      <c r="D475" s="202" t="s">
        <v>260</v>
      </c>
      <c r="E475" s="147" t="s">
        <v>175</v>
      </c>
      <c r="F475" s="196"/>
      <c r="G475" s="144" t="s">
        <v>139</v>
      </c>
      <c r="H475" s="83">
        <f>SUM(H476)</f>
        <v>396855</v>
      </c>
      <c r="I475" s="83">
        <f>SUM(I476)</f>
        <v>16135</v>
      </c>
      <c r="J475" s="83">
        <f t="shared" ref="J475:L475" si="193">SUM(J476)</f>
        <v>113681</v>
      </c>
      <c r="K475" s="83">
        <f t="shared" si="193"/>
        <v>182135</v>
      </c>
      <c r="L475" s="83">
        <f t="shared" si="193"/>
        <v>84904</v>
      </c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>
        <v>0</v>
      </c>
    </row>
    <row r="476" spans="1:23" s="22" customFormat="1" ht="15">
      <c r="A476" s="137" t="s">
        <v>12</v>
      </c>
      <c r="B476" s="138"/>
      <c r="C476" s="139"/>
      <c r="D476" s="203"/>
      <c r="E476" s="197"/>
      <c r="F476" s="198"/>
      <c r="G476" s="145"/>
      <c r="H476" s="74">
        <f>SUM(I476:L476)</f>
        <v>396855</v>
      </c>
      <c r="I476" s="74">
        <f>SUM(I477:I477)</f>
        <v>16135</v>
      </c>
      <c r="J476" s="74">
        <f t="shared" ref="J476:L476" si="194">SUM(J477:J477)</f>
        <v>113681</v>
      </c>
      <c r="K476" s="74">
        <f t="shared" si="194"/>
        <v>182135</v>
      </c>
      <c r="L476" s="74">
        <f t="shared" si="194"/>
        <v>84904</v>
      </c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</row>
    <row r="477" spans="1:23" s="22" customFormat="1" ht="15">
      <c r="A477" s="130"/>
      <c r="B477" s="140" t="s">
        <v>25</v>
      </c>
      <c r="C477" s="141"/>
      <c r="D477" s="204"/>
      <c r="E477" s="199"/>
      <c r="F477" s="200"/>
      <c r="G477" s="146"/>
      <c r="H477" s="74">
        <f>SUM(I477:L477)</f>
        <v>396855</v>
      </c>
      <c r="I477" s="74">
        <v>16135</v>
      </c>
      <c r="J477" s="74">
        <v>113681</v>
      </c>
      <c r="K477" s="74">
        <v>182135</v>
      </c>
      <c r="L477" s="74">
        <v>84904</v>
      </c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</row>
    <row r="478" spans="1:23" s="36" customFormat="1">
      <c r="A478" s="42"/>
      <c r="B478" s="43"/>
      <c r="C478" s="43"/>
      <c r="D478" s="42"/>
      <c r="E478" s="42"/>
      <c r="F478" s="42"/>
      <c r="G478" s="42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</row>
    <row r="479" spans="1:23" s="54" customFormat="1" ht="15">
      <c r="A479" s="223" t="s">
        <v>2</v>
      </c>
      <c r="B479" s="224"/>
      <c r="C479" s="225"/>
      <c r="D479" s="52"/>
      <c r="E479" s="226"/>
      <c r="F479" s="227"/>
      <c r="G479" s="61"/>
      <c r="H479" s="53">
        <f>SUM(H484,H489)</f>
        <v>3052068341</v>
      </c>
      <c r="I479" s="53">
        <f t="shared" ref="I479:P479" si="195">SUM(I484,I489)</f>
        <v>629065303</v>
      </c>
      <c r="J479" s="53">
        <f t="shared" si="195"/>
        <v>1101504213</v>
      </c>
      <c r="K479" s="53">
        <f t="shared" si="195"/>
        <v>663420272</v>
      </c>
      <c r="L479" s="53">
        <f t="shared" si="195"/>
        <v>149731889</v>
      </c>
      <c r="M479" s="53">
        <f t="shared" si="195"/>
        <v>22560424</v>
      </c>
      <c r="N479" s="53">
        <f t="shared" si="195"/>
        <v>19203390</v>
      </c>
      <c r="O479" s="53">
        <f t="shared" si="195"/>
        <v>25622067</v>
      </c>
      <c r="P479" s="53">
        <f t="shared" si="195"/>
        <v>9792994</v>
      </c>
      <c r="Q479" s="53">
        <f t="shared" ref="Q479:V479" si="196">SUM(Q484,Q489)</f>
        <v>5865266</v>
      </c>
      <c r="R479" s="53">
        <f t="shared" si="196"/>
        <v>4289403</v>
      </c>
      <c r="S479" s="53">
        <f t="shared" si="196"/>
        <v>3555668</v>
      </c>
      <c r="T479" s="53">
        <f t="shared" si="196"/>
        <v>341950</v>
      </c>
      <c r="U479" s="53">
        <f t="shared" si="196"/>
        <v>200000</v>
      </c>
      <c r="V479" s="53">
        <f t="shared" si="196"/>
        <v>200000</v>
      </c>
      <c r="W479" s="53">
        <f>SUM(W455,W382,W5)</f>
        <v>1492931651</v>
      </c>
    </row>
    <row r="480" spans="1:23" s="54" customFormat="1" ht="15">
      <c r="A480" s="55"/>
      <c r="B480" s="221" t="s">
        <v>23</v>
      </c>
      <c r="C480" s="222"/>
      <c r="D480" s="52"/>
      <c r="E480" s="66"/>
      <c r="F480" s="67"/>
      <c r="G480" s="61"/>
      <c r="H480" s="53">
        <f>SUM(H485,H490)</f>
        <v>1376631516</v>
      </c>
      <c r="I480" s="53">
        <f t="shared" ref="I480:P480" si="197">SUM(I485,I490)</f>
        <v>287471626</v>
      </c>
      <c r="J480" s="53">
        <f t="shared" si="197"/>
        <v>595225297</v>
      </c>
      <c r="K480" s="53">
        <f t="shared" si="197"/>
        <v>407186136</v>
      </c>
      <c r="L480" s="53">
        <f t="shared" si="197"/>
        <v>41660283</v>
      </c>
      <c r="M480" s="53">
        <f t="shared" si="197"/>
        <v>0</v>
      </c>
      <c r="N480" s="53">
        <f t="shared" si="197"/>
        <v>0</v>
      </c>
      <c r="O480" s="53">
        <f t="shared" si="197"/>
        <v>0</v>
      </c>
      <c r="P480" s="53">
        <f t="shared" si="197"/>
        <v>0</v>
      </c>
      <c r="Q480" s="53">
        <f t="shared" ref="Q480:V480" si="198">SUM(Q485,Q490)</f>
        <v>0</v>
      </c>
      <c r="R480" s="53">
        <f t="shared" si="198"/>
        <v>0</v>
      </c>
      <c r="S480" s="53">
        <f t="shared" si="198"/>
        <v>0</v>
      </c>
      <c r="T480" s="53">
        <f t="shared" si="198"/>
        <v>0</v>
      </c>
      <c r="U480" s="53">
        <f t="shared" si="198"/>
        <v>0</v>
      </c>
      <c r="V480" s="53">
        <f t="shared" si="198"/>
        <v>0</v>
      </c>
      <c r="W480" s="53"/>
    </row>
    <row r="481" spans="1:23" s="54" customFormat="1" ht="15">
      <c r="A481" s="56"/>
      <c r="B481" s="221" t="s">
        <v>25</v>
      </c>
      <c r="C481" s="222"/>
      <c r="D481" s="52"/>
      <c r="E481" s="66"/>
      <c r="F481" s="67"/>
      <c r="G481" s="61"/>
      <c r="H481" s="53">
        <f t="shared" ref="H481" si="199">SUM(H486,H491)</f>
        <v>779017212</v>
      </c>
      <c r="I481" s="53">
        <f t="shared" ref="I481:P481" si="200">SUM(I486,I491)</f>
        <v>130636642</v>
      </c>
      <c r="J481" s="53">
        <f t="shared" si="200"/>
        <v>228464610</v>
      </c>
      <c r="K481" s="53">
        <f t="shared" si="200"/>
        <v>143346109</v>
      </c>
      <c r="L481" s="53">
        <f t="shared" si="200"/>
        <v>71071321</v>
      </c>
      <c r="M481" s="53">
        <f t="shared" si="200"/>
        <v>22560424</v>
      </c>
      <c r="N481" s="53">
        <f t="shared" si="200"/>
        <v>19203390</v>
      </c>
      <c r="O481" s="53">
        <f t="shared" si="200"/>
        <v>25622067</v>
      </c>
      <c r="P481" s="53">
        <f t="shared" si="200"/>
        <v>9792994</v>
      </c>
      <c r="Q481" s="53">
        <f t="shared" ref="Q481:V481" si="201">SUM(Q486,Q491)</f>
        <v>5865266</v>
      </c>
      <c r="R481" s="53">
        <f t="shared" si="201"/>
        <v>4289403</v>
      </c>
      <c r="S481" s="53">
        <f t="shared" si="201"/>
        <v>3555668</v>
      </c>
      <c r="T481" s="53">
        <f t="shared" si="201"/>
        <v>341950</v>
      </c>
      <c r="U481" s="53">
        <f t="shared" si="201"/>
        <v>200000</v>
      </c>
      <c r="V481" s="53">
        <f t="shared" si="201"/>
        <v>200000</v>
      </c>
      <c r="W481" s="53"/>
    </row>
    <row r="482" spans="1:23" s="54" customFormat="1" ht="15">
      <c r="A482" s="56"/>
      <c r="B482" s="221" t="s">
        <v>24</v>
      </c>
      <c r="C482" s="222"/>
      <c r="D482" s="52"/>
      <c r="E482" s="66"/>
      <c r="F482" s="67"/>
      <c r="G482" s="61"/>
      <c r="H482" s="53">
        <f t="shared" ref="H482" si="202">SUM(H487,H492)</f>
        <v>832610082</v>
      </c>
      <c r="I482" s="53">
        <f t="shared" ref="I482:P482" si="203">SUM(I487,I492)</f>
        <v>195738977</v>
      </c>
      <c r="J482" s="53">
        <f t="shared" si="203"/>
        <v>262531806</v>
      </c>
      <c r="K482" s="53">
        <f t="shared" si="203"/>
        <v>103227784</v>
      </c>
      <c r="L482" s="53">
        <f t="shared" si="203"/>
        <v>30750285</v>
      </c>
      <c r="M482" s="53">
        <f t="shared" si="203"/>
        <v>0</v>
      </c>
      <c r="N482" s="53">
        <f t="shared" si="203"/>
        <v>0</v>
      </c>
      <c r="O482" s="53">
        <f t="shared" si="203"/>
        <v>0</v>
      </c>
      <c r="P482" s="53">
        <f t="shared" si="203"/>
        <v>0</v>
      </c>
      <c r="Q482" s="53">
        <f t="shared" ref="Q482:V482" si="204">SUM(Q487,Q492)</f>
        <v>0</v>
      </c>
      <c r="R482" s="53">
        <f t="shared" si="204"/>
        <v>0</v>
      </c>
      <c r="S482" s="53">
        <f t="shared" si="204"/>
        <v>0</v>
      </c>
      <c r="T482" s="53">
        <f t="shared" si="204"/>
        <v>0</v>
      </c>
      <c r="U482" s="53">
        <f t="shared" si="204"/>
        <v>0</v>
      </c>
      <c r="V482" s="53">
        <f t="shared" si="204"/>
        <v>0</v>
      </c>
      <c r="W482" s="53"/>
    </row>
    <row r="483" spans="1:23" s="54" customFormat="1" ht="15">
      <c r="A483" s="55"/>
      <c r="B483" s="221" t="s">
        <v>26</v>
      </c>
      <c r="C483" s="222"/>
      <c r="D483" s="52"/>
      <c r="E483" s="66"/>
      <c r="F483" s="67"/>
      <c r="G483" s="61" t="s">
        <v>179</v>
      </c>
      <c r="H483" s="53">
        <f t="shared" ref="H483" si="205">SUM(H488,H493)</f>
        <v>63809531</v>
      </c>
      <c r="I483" s="53">
        <f t="shared" ref="I483:P483" si="206">SUM(I488,I493)</f>
        <v>15218058</v>
      </c>
      <c r="J483" s="53">
        <f t="shared" si="206"/>
        <v>15282500</v>
      </c>
      <c r="K483" s="53">
        <f t="shared" si="206"/>
        <v>9660243</v>
      </c>
      <c r="L483" s="53">
        <f t="shared" si="206"/>
        <v>6250000</v>
      </c>
      <c r="M483" s="53">
        <f t="shared" si="206"/>
        <v>0</v>
      </c>
      <c r="N483" s="53">
        <f t="shared" si="206"/>
        <v>0</v>
      </c>
      <c r="O483" s="53">
        <f t="shared" si="206"/>
        <v>0</v>
      </c>
      <c r="P483" s="53">
        <f t="shared" si="206"/>
        <v>0</v>
      </c>
      <c r="Q483" s="53">
        <f t="shared" ref="Q483:V483" si="207">SUM(Q488,Q493)</f>
        <v>0</v>
      </c>
      <c r="R483" s="53">
        <f t="shared" si="207"/>
        <v>0</v>
      </c>
      <c r="S483" s="53">
        <f t="shared" si="207"/>
        <v>0</v>
      </c>
      <c r="T483" s="53">
        <f t="shared" si="207"/>
        <v>0</v>
      </c>
      <c r="U483" s="53">
        <f t="shared" si="207"/>
        <v>0</v>
      </c>
      <c r="V483" s="53">
        <f t="shared" si="207"/>
        <v>0</v>
      </c>
      <c r="W483" s="53"/>
    </row>
    <row r="484" spans="1:23" s="54" customFormat="1" ht="15">
      <c r="A484" s="239" t="s">
        <v>3</v>
      </c>
      <c r="B484" s="240"/>
      <c r="C484" s="241"/>
      <c r="D484" s="52"/>
      <c r="E484" s="242"/>
      <c r="F484" s="243"/>
      <c r="G484" s="61"/>
      <c r="H484" s="53">
        <f>SUM(H485:H488)</f>
        <v>814804916</v>
      </c>
      <c r="I484" s="53">
        <f t="shared" ref="I484:P484" si="208">SUM(I485:I488)</f>
        <v>202432840</v>
      </c>
      <c r="J484" s="53">
        <f t="shared" si="208"/>
        <v>223529371</v>
      </c>
      <c r="K484" s="53">
        <f t="shared" si="208"/>
        <v>99203642</v>
      </c>
      <c r="L484" s="53">
        <f t="shared" si="208"/>
        <v>43637447</v>
      </c>
      <c r="M484" s="53">
        <f t="shared" si="208"/>
        <v>12560424</v>
      </c>
      <c r="N484" s="53">
        <f t="shared" si="208"/>
        <v>9203390</v>
      </c>
      <c r="O484" s="53">
        <f t="shared" si="208"/>
        <v>7795468</v>
      </c>
      <c r="P484" s="53">
        <f t="shared" si="208"/>
        <v>6966395</v>
      </c>
      <c r="Q484" s="53">
        <f t="shared" ref="Q484:V484" si="209">SUM(Q485:Q488)</f>
        <v>5865266</v>
      </c>
      <c r="R484" s="53">
        <f t="shared" si="209"/>
        <v>4289403</v>
      </c>
      <c r="S484" s="53">
        <f t="shared" si="209"/>
        <v>3555668</v>
      </c>
      <c r="T484" s="53">
        <f t="shared" si="209"/>
        <v>341950</v>
      </c>
      <c r="U484" s="53">
        <f t="shared" si="209"/>
        <v>200000</v>
      </c>
      <c r="V484" s="53">
        <f t="shared" si="209"/>
        <v>200000</v>
      </c>
      <c r="W484" s="53"/>
    </row>
    <row r="485" spans="1:23" s="54" customFormat="1" ht="15">
      <c r="A485" s="55"/>
      <c r="B485" s="221" t="s">
        <v>23</v>
      </c>
      <c r="C485" s="222"/>
      <c r="D485" s="52"/>
      <c r="E485" s="66"/>
      <c r="F485" s="67"/>
      <c r="G485" s="61"/>
      <c r="H485" s="53">
        <f>SUM(H34,H42,H48,H153,H162,H169,H189,H201,H210,H217,H179,H184,H194)</f>
        <v>122237594</v>
      </c>
      <c r="I485" s="53">
        <f t="shared" ref="I485:V485" si="210">SUM(I34,I42,I48,I153,I162,I169,I189,I201,I210,I217,I179,I184,I194)</f>
        <v>32798884</v>
      </c>
      <c r="J485" s="53">
        <f t="shared" si="210"/>
        <v>51321348</v>
      </c>
      <c r="K485" s="53">
        <f t="shared" si="210"/>
        <v>19775155</v>
      </c>
      <c r="L485" s="53">
        <f t="shared" si="210"/>
        <v>881900</v>
      </c>
      <c r="M485" s="53">
        <f t="shared" si="210"/>
        <v>0</v>
      </c>
      <c r="N485" s="53">
        <f t="shared" si="210"/>
        <v>0</v>
      </c>
      <c r="O485" s="53">
        <f t="shared" si="210"/>
        <v>0</v>
      </c>
      <c r="P485" s="53">
        <f t="shared" si="210"/>
        <v>0</v>
      </c>
      <c r="Q485" s="53">
        <f t="shared" si="210"/>
        <v>0</v>
      </c>
      <c r="R485" s="53">
        <f t="shared" si="210"/>
        <v>0</v>
      </c>
      <c r="S485" s="53">
        <f t="shared" si="210"/>
        <v>0</v>
      </c>
      <c r="T485" s="53">
        <f t="shared" si="210"/>
        <v>0</v>
      </c>
      <c r="U485" s="53">
        <f t="shared" si="210"/>
        <v>0</v>
      </c>
      <c r="V485" s="53">
        <f t="shared" si="210"/>
        <v>0</v>
      </c>
      <c r="W485" s="53"/>
    </row>
    <row r="486" spans="1:23" s="54" customFormat="1" ht="15">
      <c r="A486" s="56"/>
      <c r="B486" s="221" t="s">
        <v>25</v>
      </c>
      <c r="C486" s="222"/>
      <c r="D486" s="52"/>
      <c r="E486" s="66"/>
      <c r="F486" s="67"/>
      <c r="G486" s="61"/>
      <c r="H486" s="53">
        <f>SUM(H35,H43,H133,H49,H56,H140,H146,H154,H202,H211,H258,H387,H235,H251,H281,H290,H299,H303,H315,H324,H336,H340,H352,H357,H361,H365,H391,H400,H404,H408,H412,H416,H420,H424,H428,H432,H436,H440,H444,H448,H459,H462,H465,H468,H471,H474,H180,H230,H185,H286,H328,H370,H396,H452,H477)</f>
        <v>366839868</v>
      </c>
      <c r="I486" s="53">
        <f t="shared" ref="I486:V486" si="211">SUM(I35,I43,I133,I49,I56,I140,I146,I154,I202,I211,I258,I387,I235,I251,I281,I290,I299,I303,I315,I324,I336,I340,I352,I357,I361,I365,I391,I400,I404,I408,I412,I416,I420,I424,I428,I432,I436,I440,I444,I448,I459,I462,I465,I468,I471,I474,I180,I230,I185,I286,I328,I370,I396,I452,I477)</f>
        <v>87348029</v>
      </c>
      <c r="J486" s="53">
        <f t="shared" si="211"/>
        <v>94501663</v>
      </c>
      <c r="K486" s="53">
        <f t="shared" si="211"/>
        <v>35421619</v>
      </c>
      <c r="L486" s="53">
        <f t="shared" si="211"/>
        <v>28055667</v>
      </c>
      <c r="M486" s="53">
        <f t="shared" si="211"/>
        <v>12560424</v>
      </c>
      <c r="N486" s="53">
        <f t="shared" si="211"/>
        <v>9203390</v>
      </c>
      <c r="O486" s="53">
        <f t="shared" si="211"/>
        <v>7795468</v>
      </c>
      <c r="P486" s="53">
        <f t="shared" si="211"/>
        <v>6966395</v>
      </c>
      <c r="Q486" s="53">
        <f t="shared" si="211"/>
        <v>5865266</v>
      </c>
      <c r="R486" s="53">
        <f t="shared" si="211"/>
        <v>4289403</v>
      </c>
      <c r="S486" s="53">
        <f t="shared" si="211"/>
        <v>3555668</v>
      </c>
      <c r="T486" s="53">
        <f t="shared" si="211"/>
        <v>341950</v>
      </c>
      <c r="U486" s="53">
        <f t="shared" si="211"/>
        <v>200000</v>
      </c>
      <c r="V486" s="53">
        <f t="shared" si="211"/>
        <v>200000</v>
      </c>
      <c r="W486" s="53"/>
    </row>
    <row r="487" spans="1:23" s="54" customFormat="1" ht="15">
      <c r="A487" s="56"/>
      <c r="B487" s="221" t="s">
        <v>24</v>
      </c>
      <c r="C487" s="222"/>
      <c r="D487" s="52"/>
      <c r="E487" s="66"/>
      <c r="F487" s="67"/>
      <c r="G487" s="61"/>
      <c r="H487" s="53">
        <f>SUM(H265,H36,H44,H155,H163,H170,H203,H218,H252,H259,H270,H319,H366,H392,H239,H195)</f>
        <v>318505457</v>
      </c>
      <c r="I487" s="53">
        <f t="shared" ref="I487:V487" si="212">SUM(I265,I36,I44,I155,I163,I170,I203,I218,I252,I259,I270,I319,I366,I392,I239,I195)</f>
        <v>75233930</v>
      </c>
      <c r="J487" s="53">
        <f t="shared" si="212"/>
        <v>77536360</v>
      </c>
      <c r="K487" s="53">
        <f t="shared" si="212"/>
        <v>44006868</v>
      </c>
      <c r="L487" s="53">
        <f t="shared" si="212"/>
        <v>14699880</v>
      </c>
      <c r="M487" s="53">
        <f t="shared" si="212"/>
        <v>0</v>
      </c>
      <c r="N487" s="53">
        <f t="shared" si="212"/>
        <v>0</v>
      </c>
      <c r="O487" s="53">
        <f t="shared" si="212"/>
        <v>0</v>
      </c>
      <c r="P487" s="53">
        <f t="shared" si="212"/>
        <v>0</v>
      </c>
      <c r="Q487" s="53">
        <f t="shared" si="212"/>
        <v>0</v>
      </c>
      <c r="R487" s="53">
        <f t="shared" si="212"/>
        <v>0</v>
      </c>
      <c r="S487" s="53">
        <f t="shared" si="212"/>
        <v>0</v>
      </c>
      <c r="T487" s="53">
        <f t="shared" si="212"/>
        <v>0</v>
      </c>
      <c r="U487" s="53">
        <f t="shared" si="212"/>
        <v>0</v>
      </c>
      <c r="V487" s="53">
        <f t="shared" si="212"/>
        <v>0</v>
      </c>
      <c r="W487" s="53"/>
    </row>
    <row r="488" spans="1:23" s="54" customFormat="1" ht="15">
      <c r="A488" s="55"/>
      <c r="B488" s="221" t="s">
        <v>26</v>
      </c>
      <c r="C488" s="222"/>
      <c r="D488" s="52"/>
      <c r="E488" s="66"/>
      <c r="F488" s="67"/>
      <c r="G488" s="61"/>
      <c r="H488" s="53">
        <f>H282+H371</f>
        <v>7221997</v>
      </c>
      <c r="I488" s="53">
        <f>I282+I371</f>
        <v>7051997</v>
      </c>
      <c r="J488" s="53">
        <f t="shared" ref="J488:V488" si="213">J282+J371</f>
        <v>170000</v>
      </c>
      <c r="K488" s="53">
        <f t="shared" si="213"/>
        <v>0</v>
      </c>
      <c r="L488" s="53">
        <f t="shared" si="213"/>
        <v>0</v>
      </c>
      <c r="M488" s="53">
        <f t="shared" si="213"/>
        <v>0</v>
      </c>
      <c r="N488" s="53">
        <f t="shared" si="213"/>
        <v>0</v>
      </c>
      <c r="O488" s="53">
        <f t="shared" si="213"/>
        <v>0</v>
      </c>
      <c r="P488" s="53">
        <f t="shared" si="213"/>
        <v>0</v>
      </c>
      <c r="Q488" s="53">
        <f t="shared" si="213"/>
        <v>0</v>
      </c>
      <c r="R488" s="53">
        <f t="shared" si="213"/>
        <v>0</v>
      </c>
      <c r="S488" s="53">
        <f t="shared" si="213"/>
        <v>0</v>
      </c>
      <c r="T488" s="53">
        <f t="shared" si="213"/>
        <v>0</v>
      </c>
      <c r="U488" s="53">
        <f t="shared" si="213"/>
        <v>0</v>
      </c>
      <c r="V488" s="53">
        <f t="shared" si="213"/>
        <v>0</v>
      </c>
      <c r="W488" s="53"/>
    </row>
    <row r="489" spans="1:23" s="54" customFormat="1" ht="15">
      <c r="A489" s="239" t="s">
        <v>4</v>
      </c>
      <c r="B489" s="240"/>
      <c r="C489" s="241"/>
      <c r="D489" s="52"/>
      <c r="E489" s="242"/>
      <c r="F489" s="243"/>
      <c r="G489" s="61"/>
      <c r="H489" s="53">
        <f t="shared" ref="H489" si="214">SUM(H490:H493)</f>
        <v>2237263425</v>
      </c>
      <c r="I489" s="53">
        <f>SUM(I490:I493)</f>
        <v>426632463</v>
      </c>
      <c r="J489" s="53">
        <f t="shared" ref="J489:P489" si="215">SUM(J490:J493)</f>
        <v>877974842</v>
      </c>
      <c r="K489" s="53">
        <f t="shared" si="215"/>
        <v>564216630</v>
      </c>
      <c r="L489" s="53">
        <f t="shared" si="215"/>
        <v>106094442</v>
      </c>
      <c r="M489" s="53">
        <f t="shared" si="215"/>
        <v>10000000</v>
      </c>
      <c r="N489" s="53">
        <f t="shared" si="215"/>
        <v>10000000</v>
      </c>
      <c r="O489" s="53">
        <f t="shared" si="215"/>
        <v>17826599</v>
      </c>
      <c r="P489" s="53">
        <f t="shared" si="215"/>
        <v>2826599</v>
      </c>
      <c r="Q489" s="53">
        <f t="shared" ref="Q489:V489" si="216">SUM(Q490:Q493)</f>
        <v>0</v>
      </c>
      <c r="R489" s="53">
        <f t="shared" si="216"/>
        <v>0</v>
      </c>
      <c r="S489" s="53">
        <f t="shared" si="216"/>
        <v>0</v>
      </c>
      <c r="T489" s="53">
        <f t="shared" si="216"/>
        <v>0</v>
      </c>
      <c r="U489" s="53">
        <f t="shared" si="216"/>
        <v>0</v>
      </c>
      <c r="V489" s="53">
        <f t="shared" si="216"/>
        <v>0</v>
      </c>
      <c r="W489" s="53"/>
    </row>
    <row r="490" spans="1:23" s="54" customFormat="1" ht="15">
      <c r="A490" s="55"/>
      <c r="B490" s="221" t="s">
        <v>23</v>
      </c>
      <c r="C490" s="222"/>
      <c r="D490" s="52"/>
      <c r="E490" s="66"/>
      <c r="F490" s="67"/>
      <c r="G490" s="61"/>
      <c r="H490" s="53">
        <f>SUM(H15,H20,H25,H30,H38,H106,H51,H58,H65,H71,H76,H82,H88,H94,H100,H111,H116,H135,H142,H148,H157,H165,H175,H191,H205,H213,H128,H197,H121)</f>
        <v>1254393922</v>
      </c>
      <c r="I490" s="53">
        <f t="shared" ref="I490:V490" si="217">SUM(I15,I20,I25,I30,I38,I106,I51,I58,I65,I71,I76,I82,I88,I94,I100,I111,I116,I135,I142,I148,I157,I165,I175,I191,I205,I213,I128,I197,I121)</f>
        <v>254672742</v>
      </c>
      <c r="J490" s="53">
        <f t="shared" si="217"/>
        <v>543903949</v>
      </c>
      <c r="K490" s="53">
        <f t="shared" si="217"/>
        <v>387410981</v>
      </c>
      <c r="L490" s="53">
        <f t="shared" si="217"/>
        <v>40778383</v>
      </c>
      <c r="M490" s="53">
        <f t="shared" si="217"/>
        <v>0</v>
      </c>
      <c r="N490" s="53">
        <f t="shared" si="217"/>
        <v>0</v>
      </c>
      <c r="O490" s="53">
        <f t="shared" si="217"/>
        <v>0</v>
      </c>
      <c r="P490" s="53">
        <f t="shared" si="217"/>
        <v>0</v>
      </c>
      <c r="Q490" s="53">
        <f t="shared" si="217"/>
        <v>0</v>
      </c>
      <c r="R490" s="53">
        <f t="shared" si="217"/>
        <v>0</v>
      </c>
      <c r="S490" s="53">
        <f t="shared" si="217"/>
        <v>0</v>
      </c>
      <c r="T490" s="53">
        <f t="shared" si="217"/>
        <v>0</v>
      </c>
      <c r="U490" s="53">
        <f t="shared" si="217"/>
        <v>0</v>
      </c>
      <c r="V490" s="53">
        <f t="shared" si="217"/>
        <v>0</v>
      </c>
      <c r="W490" s="53"/>
    </row>
    <row r="491" spans="1:23" s="54" customFormat="1" ht="15">
      <c r="A491" s="56"/>
      <c r="B491" s="221" t="s">
        <v>25</v>
      </c>
      <c r="C491" s="222"/>
      <c r="D491" s="52"/>
      <c r="E491" s="66"/>
      <c r="F491" s="67"/>
      <c r="G491" s="61"/>
      <c r="H491" s="53">
        <f>SUM(H52,H59,H66,H72,H77,H83,H89,H95,H101,H107,H117,H136,H143,H149,H158,H176,H206,H214,H254,H261,H276,H295,H308,H312,H333,H345,H354,H380,H232,H129,H349,H376,H122)</f>
        <v>412177344</v>
      </c>
      <c r="I491" s="53">
        <f t="shared" ref="I491:V491" si="218">SUM(I52,I59,I66,I72,I77,I83,I89,I95,I101,I107,I117,I136,I143,I149,I158,I176,I206,I214,I254,I261,I276,I295,I308,I312,I333,I345,I354,I380,I232,I129,I349,I376,I122)</f>
        <v>43288613</v>
      </c>
      <c r="J491" s="53">
        <f t="shared" si="218"/>
        <v>133962947</v>
      </c>
      <c r="K491" s="53">
        <f t="shared" si="218"/>
        <v>107924490</v>
      </c>
      <c r="L491" s="53">
        <f t="shared" si="218"/>
        <v>43015654</v>
      </c>
      <c r="M491" s="53">
        <f t="shared" si="218"/>
        <v>10000000</v>
      </c>
      <c r="N491" s="53">
        <f t="shared" si="218"/>
        <v>10000000</v>
      </c>
      <c r="O491" s="53">
        <f t="shared" si="218"/>
        <v>17826599</v>
      </c>
      <c r="P491" s="53">
        <f t="shared" si="218"/>
        <v>2826599</v>
      </c>
      <c r="Q491" s="53">
        <f t="shared" si="218"/>
        <v>0</v>
      </c>
      <c r="R491" s="53">
        <f t="shared" si="218"/>
        <v>0</v>
      </c>
      <c r="S491" s="53">
        <f t="shared" si="218"/>
        <v>0</v>
      </c>
      <c r="T491" s="53">
        <f t="shared" si="218"/>
        <v>0</v>
      </c>
      <c r="U491" s="53">
        <f t="shared" si="218"/>
        <v>0</v>
      </c>
      <c r="V491" s="53">
        <f t="shared" si="218"/>
        <v>0</v>
      </c>
      <c r="W491" s="53"/>
    </row>
    <row r="492" spans="1:23" s="54" customFormat="1" ht="15">
      <c r="A492" s="56"/>
      <c r="B492" s="221" t="s">
        <v>24</v>
      </c>
      <c r="C492" s="222"/>
      <c r="D492" s="52"/>
      <c r="E492" s="66"/>
      <c r="F492" s="67"/>
      <c r="G492" s="61"/>
      <c r="H492" s="53">
        <f>SUM(H16,H21,H26,H31,H267,H39,H60,H67,H84,H102,H112,H137,H159,H166,H207,H255,H262,H272,H277,H321,H78,H90,H96,H150,H244,H248,H130,H198,H123)</f>
        <v>514104625</v>
      </c>
      <c r="I492" s="53">
        <f t="shared" ref="I492:V492" si="219">SUM(I16,I21,I26,I31,I267,I39,I60,I67,I84,I102,I112,I137,I159,I166,I207,I255,I262,I272,I277,I321,I78,I90,I96,I150,I244,I248,I130,I198,I123)</f>
        <v>120505047</v>
      </c>
      <c r="J492" s="53">
        <f t="shared" si="219"/>
        <v>184995446</v>
      </c>
      <c r="K492" s="53">
        <f t="shared" si="219"/>
        <v>59220916</v>
      </c>
      <c r="L492" s="53">
        <f t="shared" si="219"/>
        <v>16050405</v>
      </c>
      <c r="M492" s="53">
        <f t="shared" si="219"/>
        <v>0</v>
      </c>
      <c r="N492" s="53">
        <f t="shared" si="219"/>
        <v>0</v>
      </c>
      <c r="O492" s="53">
        <f t="shared" si="219"/>
        <v>0</v>
      </c>
      <c r="P492" s="53">
        <f t="shared" si="219"/>
        <v>0</v>
      </c>
      <c r="Q492" s="53">
        <f t="shared" si="219"/>
        <v>0</v>
      </c>
      <c r="R492" s="53">
        <f t="shared" si="219"/>
        <v>0</v>
      </c>
      <c r="S492" s="53">
        <f t="shared" si="219"/>
        <v>0</v>
      </c>
      <c r="T492" s="53">
        <f t="shared" si="219"/>
        <v>0</v>
      </c>
      <c r="U492" s="53">
        <f t="shared" si="219"/>
        <v>0</v>
      </c>
      <c r="V492" s="53">
        <f t="shared" si="219"/>
        <v>0</v>
      </c>
      <c r="W492" s="53"/>
    </row>
    <row r="493" spans="1:23" s="54" customFormat="1" ht="13.5" customHeight="1">
      <c r="A493" s="55"/>
      <c r="B493" s="221" t="s">
        <v>26</v>
      </c>
      <c r="C493" s="222"/>
      <c r="D493" s="52"/>
      <c r="E493" s="66"/>
      <c r="F493" s="67"/>
      <c r="G493" s="61"/>
      <c r="H493" s="53">
        <f>SUM(H53,H61,H278,H296,H124)</f>
        <v>56587534</v>
      </c>
      <c r="I493" s="53">
        <f t="shared" ref="I493:V493" si="220">SUM(I53,I61,I278,I296,I124)</f>
        <v>8166061</v>
      </c>
      <c r="J493" s="53">
        <f t="shared" si="220"/>
        <v>15112500</v>
      </c>
      <c r="K493" s="53">
        <f t="shared" si="220"/>
        <v>9660243</v>
      </c>
      <c r="L493" s="53">
        <f t="shared" si="220"/>
        <v>6250000</v>
      </c>
      <c r="M493" s="53">
        <f t="shared" si="220"/>
        <v>0</v>
      </c>
      <c r="N493" s="53">
        <f t="shared" si="220"/>
        <v>0</v>
      </c>
      <c r="O493" s="53">
        <f t="shared" si="220"/>
        <v>0</v>
      </c>
      <c r="P493" s="53">
        <f t="shared" si="220"/>
        <v>0</v>
      </c>
      <c r="Q493" s="53">
        <f t="shared" si="220"/>
        <v>0</v>
      </c>
      <c r="R493" s="53">
        <f t="shared" si="220"/>
        <v>0</v>
      </c>
      <c r="S493" s="53">
        <f t="shared" si="220"/>
        <v>0</v>
      </c>
      <c r="T493" s="53">
        <f t="shared" si="220"/>
        <v>0</v>
      </c>
      <c r="U493" s="53">
        <f t="shared" si="220"/>
        <v>0</v>
      </c>
      <c r="V493" s="53">
        <f t="shared" si="220"/>
        <v>0</v>
      </c>
      <c r="W493" s="53"/>
    </row>
    <row r="494" spans="1:23">
      <c r="G494" s="93" t="s">
        <v>236</v>
      </c>
      <c r="H494" s="1">
        <f t="shared" ref="H494:V494" si="221">H484-H455-H382</f>
        <v>703775073</v>
      </c>
      <c r="I494" s="1">
        <f t="shared" si="221"/>
        <v>192494114</v>
      </c>
      <c r="J494" s="1">
        <f t="shared" si="221"/>
        <v>209441849</v>
      </c>
      <c r="K494" s="1">
        <f t="shared" si="221"/>
        <v>87191503</v>
      </c>
      <c r="L494" s="1">
        <f t="shared" si="221"/>
        <v>34504698</v>
      </c>
      <c r="M494" s="1">
        <f t="shared" si="221"/>
        <v>4998444</v>
      </c>
      <c r="N494" s="1">
        <f t="shared" si="221"/>
        <v>4243356</v>
      </c>
      <c r="O494" s="1">
        <f t="shared" si="221"/>
        <v>2839254</v>
      </c>
      <c r="P494" s="1">
        <f t="shared" si="221"/>
        <v>2446497</v>
      </c>
      <c r="Q494" s="1">
        <f t="shared" si="221"/>
        <v>1559723</v>
      </c>
      <c r="R494" s="1">
        <f t="shared" si="221"/>
        <v>200000</v>
      </c>
      <c r="S494" s="1">
        <f t="shared" si="221"/>
        <v>200000</v>
      </c>
      <c r="T494" s="1">
        <f t="shared" si="221"/>
        <v>200000</v>
      </c>
      <c r="U494" s="1">
        <f t="shared" si="221"/>
        <v>200000</v>
      </c>
      <c r="V494" s="1">
        <f t="shared" si="221"/>
        <v>200000</v>
      </c>
      <c r="W494" s="1">
        <f t="shared" ref="W494" si="222">W484-W455</f>
        <v>0</v>
      </c>
    </row>
    <row r="495" spans="1:23">
      <c r="G495" s="68" t="s">
        <v>168</v>
      </c>
      <c r="H495" s="1">
        <f>H484-H455</f>
        <v>711920707</v>
      </c>
      <c r="I495" s="1">
        <f t="shared" ref="I495:V495" si="223">I484-I455</f>
        <v>196254194</v>
      </c>
      <c r="J495" s="1">
        <f t="shared" si="223"/>
        <v>211305900</v>
      </c>
      <c r="K495" s="1">
        <f t="shared" si="223"/>
        <v>88744668</v>
      </c>
      <c r="L495" s="1">
        <f t="shared" si="223"/>
        <v>34524536</v>
      </c>
      <c r="M495" s="1">
        <f t="shared" si="223"/>
        <v>4998444</v>
      </c>
      <c r="N495" s="1">
        <f t="shared" si="223"/>
        <v>4243356</v>
      </c>
      <c r="O495" s="1">
        <f t="shared" si="223"/>
        <v>2839254</v>
      </c>
      <c r="P495" s="1">
        <f t="shared" si="223"/>
        <v>2446497</v>
      </c>
      <c r="Q495" s="1">
        <f t="shared" si="223"/>
        <v>1559723</v>
      </c>
      <c r="R495" s="1">
        <f t="shared" si="223"/>
        <v>200000</v>
      </c>
      <c r="S495" s="1">
        <f t="shared" si="223"/>
        <v>200000</v>
      </c>
      <c r="T495" s="1">
        <f t="shared" si="223"/>
        <v>200000</v>
      </c>
      <c r="U495" s="1">
        <f t="shared" si="223"/>
        <v>200000</v>
      </c>
      <c r="V495" s="1">
        <f t="shared" si="223"/>
        <v>200000</v>
      </c>
    </row>
    <row r="496" spans="1:23">
      <c r="G496" s="68" t="s">
        <v>169</v>
      </c>
      <c r="H496" s="1">
        <f>H455</f>
        <v>102884209</v>
      </c>
      <c r="I496" s="1">
        <f t="shared" ref="I496:V496" si="224">I455</f>
        <v>6178646</v>
      </c>
      <c r="J496" s="1">
        <f t="shared" si="224"/>
        <v>12223471</v>
      </c>
      <c r="K496" s="1">
        <f t="shared" si="224"/>
        <v>10458974</v>
      </c>
      <c r="L496" s="1">
        <f t="shared" si="224"/>
        <v>9112911</v>
      </c>
      <c r="M496" s="1">
        <f t="shared" si="224"/>
        <v>7561980</v>
      </c>
      <c r="N496" s="1">
        <f t="shared" si="224"/>
        <v>4960034</v>
      </c>
      <c r="O496" s="1">
        <f t="shared" si="224"/>
        <v>4956214</v>
      </c>
      <c r="P496" s="1">
        <f t="shared" si="224"/>
        <v>4519898</v>
      </c>
      <c r="Q496" s="1">
        <f t="shared" si="224"/>
        <v>4305543</v>
      </c>
      <c r="R496" s="1">
        <f t="shared" si="224"/>
        <v>4089403</v>
      </c>
      <c r="S496" s="1">
        <f t="shared" si="224"/>
        <v>3355668</v>
      </c>
      <c r="T496" s="1">
        <f t="shared" si="224"/>
        <v>141950</v>
      </c>
      <c r="U496" s="1">
        <f t="shared" si="224"/>
        <v>0</v>
      </c>
      <c r="V496" s="1">
        <f t="shared" si="224"/>
        <v>0</v>
      </c>
    </row>
    <row r="497" spans="2:23">
      <c r="H497" s="1"/>
      <c r="I497" s="1"/>
    </row>
    <row r="498" spans="2:23">
      <c r="I498" s="1"/>
      <c r="J498" s="1"/>
    </row>
    <row r="499" spans="2:23" ht="15">
      <c r="G499" s="94" t="s">
        <v>239</v>
      </c>
      <c r="H499" s="106">
        <f>SUM(H12,H17,H22,H27,H32,H40,H46,H54,H62,H68,H73,H79,H85,H91,H97,H103,H108,H113,H131,H138,H144,H151,H160,H167,H172,H177,H187,H199,H208,H215,H228,H233,H249,H256,H263,H268,H273,H279,H288,H292,H297,H301,H305,H309,H313,H317,H322,H330,H334,H338,H342,H350,H355,H359,H363,H377,H385,H389,H398,H402,H406,H410,H414,H418,H422,H426,H430,H434,H438,H442,H446,H457,H460,H463,H466,H469,H472,H237,H241,H245,H125,H182,H284,H326,H346,H368,H373,H394,H450,H475,H192,H118)</f>
        <v>3052068341</v>
      </c>
      <c r="I499" s="106">
        <f t="shared" ref="I499:W499" si="225">SUM(I12,I17,I22,I27,I32,I40,I46,I54,I62,I68,I73,I79,I85,I91,I97,I103,I108,I113,I131,I138,I144,I151,I160,I167,I172,I177,I187,I199,I208,I215,I228,I233,I249,I256,I263,I268,I273,I279,I288,I292,I297,I301,I305,I309,I313,I317,I322,I330,I334,I338,I342,I350,I355,I359,I363,I377,I385,I389,I398,I402,I406,I410,I414,I418,I422,I426,I430,I434,I438,I442,I446,I457,I460,I463,I466,I469,I472,I237,I241,I245,I125,I182,I284,I326,I346,I368,I373,I394,I450,I475,I192,I118)</f>
        <v>629065303</v>
      </c>
      <c r="J499" s="106">
        <f t="shared" si="225"/>
        <v>1101504213</v>
      </c>
      <c r="K499" s="106">
        <f t="shared" si="225"/>
        <v>663420272</v>
      </c>
      <c r="L499" s="106">
        <f t="shared" si="225"/>
        <v>149731889</v>
      </c>
      <c r="M499" s="106">
        <f t="shared" si="225"/>
        <v>22560424</v>
      </c>
      <c r="N499" s="106">
        <f t="shared" si="225"/>
        <v>19203390</v>
      </c>
      <c r="O499" s="106">
        <f t="shared" si="225"/>
        <v>25622067</v>
      </c>
      <c r="P499" s="106">
        <f t="shared" si="225"/>
        <v>9792994</v>
      </c>
      <c r="Q499" s="106">
        <f t="shared" si="225"/>
        <v>5865266</v>
      </c>
      <c r="R499" s="106">
        <f t="shared" si="225"/>
        <v>4289403</v>
      </c>
      <c r="S499" s="106">
        <f t="shared" si="225"/>
        <v>3555668</v>
      </c>
      <c r="T499" s="106">
        <f t="shared" si="225"/>
        <v>341950</v>
      </c>
      <c r="U499" s="106">
        <f t="shared" si="225"/>
        <v>200000</v>
      </c>
      <c r="V499" s="106">
        <f t="shared" si="225"/>
        <v>200000</v>
      </c>
      <c r="W499" s="106">
        <f t="shared" si="225"/>
        <v>1492931651</v>
      </c>
    </row>
    <row r="500" spans="2:23" s="68" customFormat="1" ht="15">
      <c r="B500" s="18"/>
      <c r="C500" s="18"/>
      <c r="G500" s="95" t="s">
        <v>242</v>
      </c>
      <c r="H500" s="106">
        <f t="shared" ref="H500:W500" si="226">SUM(H5,H382,H455)</f>
        <v>3052068341</v>
      </c>
      <c r="I500" s="106">
        <f t="shared" si="226"/>
        <v>629065303</v>
      </c>
      <c r="J500" s="106">
        <f t="shared" si="226"/>
        <v>1101504213</v>
      </c>
      <c r="K500" s="106">
        <f t="shared" si="226"/>
        <v>663420272</v>
      </c>
      <c r="L500" s="106">
        <f t="shared" si="226"/>
        <v>149731889</v>
      </c>
      <c r="M500" s="106">
        <f t="shared" si="226"/>
        <v>22560424</v>
      </c>
      <c r="N500" s="106">
        <f t="shared" si="226"/>
        <v>19203390</v>
      </c>
      <c r="O500" s="106">
        <f t="shared" si="226"/>
        <v>25622067</v>
      </c>
      <c r="P500" s="106">
        <f t="shared" si="226"/>
        <v>9792994</v>
      </c>
      <c r="Q500" s="106">
        <f t="shared" si="226"/>
        <v>5865266</v>
      </c>
      <c r="R500" s="106">
        <f t="shared" si="226"/>
        <v>4289403</v>
      </c>
      <c r="S500" s="106">
        <f t="shared" si="226"/>
        <v>3555668</v>
      </c>
      <c r="T500" s="106">
        <f t="shared" si="226"/>
        <v>341950</v>
      </c>
      <c r="U500" s="106">
        <f t="shared" si="226"/>
        <v>200000</v>
      </c>
      <c r="V500" s="106">
        <f t="shared" si="226"/>
        <v>200000</v>
      </c>
      <c r="W500" s="106">
        <f t="shared" si="226"/>
        <v>1492931651</v>
      </c>
    </row>
    <row r="501" spans="2:23">
      <c r="G501" s="68" t="s">
        <v>240</v>
      </c>
      <c r="H501" s="1">
        <f t="shared" ref="H501:V501" si="227">SUM(H10,H222,H226,H383,H456)</f>
        <v>814804916</v>
      </c>
      <c r="I501" s="1">
        <f t="shared" si="227"/>
        <v>202432840</v>
      </c>
      <c r="J501" s="1">
        <f t="shared" si="227"/>
        <v>223529371</v>
      </c>
      <c r="K501" s="1">
        <f t="shared" si="227"/>
        <v>99203642</v>
      </c>
      <c r="L501" s="1">
        <f t="shared" si="227"/>
        <v>43637447</v>
      </c>
      <c r="M501" s="1">
        <f t="shared" si="227"/>
        <v>12560424</v>
      </c>
      <c r="N501" s="1">
        <f t="shared" si="227"/>
        <v>9203390</v>
      </c>
      <c r="O501" s="1">
        <f t="shared" si="227"/>
        <v>7795468</v>
      </c>
      <c r="P501" s="1">
        <f t="shared" si="227"/>
        <v>6966395</v>
      </c>
      <c r="Q501" s="1">
        <f t="shared" si="227"/>
        <v>5865266</v>
      </c>
      <c r="R501" s="1">
        <f t="shared" si="227"/>
        <v>4289403</v>
      </c>
      <c r="S501" s="1">
        <f t="shared" si="227"/>
        <v>3555668</v>
      </c>
      <c r="T501" s="1">
        <f t="shared" si="227"/>
        <v>341950</v>
      </c>
      <c r="U501" s="1">
        <f t="shared" si="227"/>
        <v>200000</v>
      </c>
      <c r="V501" s="1">
        <f t="shared" si="227"/>
        <v>200000</v>
      </c>
    </row>
    <row r="502" spans="2:23">
      <c r="G502" s="68" t="s">
        <v>241</v>
      </c>
      <c r="H502" s="1">
        <f>SUM(H11,H223,H227,H384)</f>
        <v>2237263425</v>
      </c>
      <c r="I502" s="1">
        <f t="shared" ref="I502:V502" si="228">SUM(I11,I223,I227,I384)</f>
        <v>426632463</v>
      </c>
      <c r="J502" s="1">
        <f t="shared" si="228"/>
        <v>877974842</v>
      </c>
      <c r="K502" s="1">
        <f t="shared" si="228"/>
        <v>564216630</v>
      </c>
      <c r="L502" s="1">
        <f t="shared" si="228"/>
        <v>106094442</v>
      </c>
      <c r="M502" s="1">
        <f t="shared" si="228"/>
        <v>10000000</v>
      </c>
      <c r="N502" s="1">
        <f t="shared" si="228"/>
        <v>10000000</v>
      </c>
      <c r="O502" s="1">
        <f t="shared" si="228"/>
        <v>17826599</v>
      </c>
      <c r="P502" s="1">
        <f t="shared" si="228"/>
        <v>2826599</v>
      </c>
      <c r="Q502" s="1">
        <f t="shared" si="228"/>
        <v>0</v>
      </c>
      <c r="R502" s="1">
        <f t="shared" si="228"/>
        <v>0</v>
      </c>
      <c r="S502" s="1">
        <f t="shared" si="228"/>
        <v>0</v>
      </c>
      <c r="T502" s="1">
        <f t="shared" si="228"/>
        <v>0</v>
      </c>
      <c r="U502" s="1">
        <f t="shared" si="228"/>
        <v>0</v>
      </c>
      <c r="V502" s="1">
        <f t="shared" si="228"/>
        <v>0</v>
      </c>
    </row>
    <row r="504" spans="2:23">
      <c r="H504" s="1">
        <f>H487-H392</f>
        <v>315620331</v>
      </c>
      <c r="I504" s="1">
        <f t="shared" ref="I504:T504" si="229">I487-I392</f>
        <v>74519930</v>
      </c>
      <c r="J504" s="1">
        <f t="shared" si="229"/>
        <v>76808080</v>
      </c>
      <c r="K504" s="1">
        <f t="shared" si="229"/>
        <v>43264022</v>
      </c>
      <c r="L504" s="1">
        <f t="shared" si="229"/>
        <v>14699880</v>
      </c>
      <c r="M504" s="1">
        <f t="shared" si="229"/>
        <v>0</v>
      </c>
      <c r="N504" s="1">
        <f t="shared" si="229"/>
        <v>0</v>
      </c>
      <c r="O504" s="1">
        <f t="shared" si="229"/>
        <v>0</v>
      </c>
      <c r="P504" s="1">
        <f t="shared" si="229"/>
        <v>0</v>
      </c>
      <c r="Q504" s="1">
        <f t="shared" si="229"/>
        <v>0</v>
      </c>
      <c r="R504" s="1">
        <f t="shared" si="229"/>
        <v>0</v>
      </c>
      <c r="S504" s="1">
        <f t="shared" si="229"/>
        <v>0</v>
      </c>
      <c r="T504" s="1">
        <f t="shared" si="229"/>
        <v>0</v>
      </c>
    </row>
    <row r="505" spans="2:23">
      <c r="H505" s="1">
        <f>H486-H496-H448-H444-H440-H436-H432-H428-H424-H420-H416-H412-H408-H404-H400-H391-H387-H396-H452</f>
        <v>258695151</v>
      </c>
      <c r="I505" s="1">
        <f t="shared" ref="I505:Q505" si="230">I486-I496-I448-I444-I440-I436-I432-I428-I424-I420-I416-I412-I408-I404-I400-I391-I387-I396-I452</f>
        <v>78123303</v>
      </c>
      <c r="J505" s="1">
        <f t="shared" si="230"/>
        <v>81142421</v>
      </c>
      <c r="K505" s="1">
        <f t="shared" si="230"/>
        <v>24152326</v>
      </c>
      <c r="L505" s="1">
        <f t="shared" si="230"/>
        <v>18922918</v>
      </c>
      <c r="M505" s="1">
        <f t="shared" si="230"/>
        <v>4998444</v>
      </c>
      <c r="N505" s="1">
        <f t="shared" si="230"/>
        <v>4243356</v>
      </c>
      <c r="O505" s="1">
        <f t="shared" si="230"/>
        <v>2839254</v>
      </c>
      <c r="P505" s="1">
        <f t="shared" si="230"/>
        <v>2446497</v>
      </c>
      <c r="Q505" s="1">
        <f t="shared" si="230"/>
        <v>1559723</v>
      </c>
      <c r="R505" s="1">
        <f>R486-R496-R448-R444-R440-R436-R432-R428-R424-R420-R416-R412-R408-R404-R400-R391-R387-R396-R452</f>
        <v>200000</v>
      </c>
    </row>
    <row r="506" spans="2:23">
      <c r="H506" s="1"/>
      <c r="I506" s="1"/>
    </row>
    <row r="511" spans="2:23">
      <c r="B511" s="84"/>
    </row>
  </sheetData>
  <mergeCells count="691">
    <mergeCell ref="D192:D198"/>
    <mergeCell ref="E192:F198"/>
    <mergeCell ref="G192:G198"/>
    <mergeCell ref="A196:C196"/>
    <mergeCell ref="B197:C197"/>
    <mergeCell ref="G273:G278"/>
    <mergeCell ref="A274:C274"/>
    <mergeCell ref="A275:C275"/>
    <mergeCell ref="B276:C276"/>
    <mergeCell ref="G263:G267"/>
    <mergeCell ref="B265:C265"/>
    <mergeCell ref="A266:C266"/>
    <mergeCell ref="A193:C193"/>
    <mergeCell ref="A269:C269"/>
    <mergeCell ref="B270:C270"/>
    <mergeCell ref="G268:G272"/>
    <mergeCell ref="D268:D272"/>
    <mergeCell ref="E268:F272"/>
    <mergeCell ref="B218:C218"/>
    <mergeCell ref="G237:G240"/>
    <mergeCell ref="A238:C238"/>
    <mergeCell ref="B239:C239"/>
    <mergeCell ref="A240:C240"/>
    <mergeCell ref="G241:G244"/>
    <mergeCell ref="D182:D186"/>
    <mergeCell ref="E182:F186"/>
    <mergeCell ref="G182:G186"/>
    <mergeCell ref="A183:C183"/>
    <mergeCell ref="B185:C185"/>
    <mergeCell ref="A186:C186"/>
    <mergeCell ref="B194:C194"/>
    <mergeCell ref="E263:F267"/>
    <mergeCell ref="A264:C264"/>
    <mergeCell ref="B267:C267"/>
    <mergeCell ref="D233:D236"/>
    <mergeCell ref="E208:F214"/>
    <mergeCell ref="B203:C203"/>
    <mergeCell ref="A204:C204"/>
    <mergeCell ref="B205:C205"/>
    <mergeCell ref="B206:C206"/>
    <mergeCell ref="E233:F236"/>
    <mergeCell ref="B207:C207"/>
    <mergeCell ref="A236:C236"/>
    <mergeCell ref="B217:C217"/>
    <mergeCell ref="D199:D207"/>
    <mergeCell ref="E199:F207"/>
    <mergeCell ref="B213:C213"/>
    <mergeCell ref="B214:C214"/>
    <mergeCell ref="D368:D372"/>
    <mergeCell ref="E368:F372"/>
    <mergeCell ref="G368:G372"/>
    <mergeCell ref="A369:C369"/>
    <mergeCell ref="B370:C370"/>
    <mergeCell ref="B371:C371"/>
    <mergeCell ref="A372:C372"/>
    <mergeCell ref="D284:D287"/>
    <mergeCell ref="E284:F287"/>
    <mergeCell ref="G284:G287"/>
    <mergeCell ref="A285:C285"/>
    <mergeCell ref="B286:C286"/>
    <mergeCell ref="A287:C287"/>
    <mergeCell ref="D326:D329"/>
    <mergeCell ref="E326:F329"/>
    <mergeCell ref="G326:G329"/>
    <mergeCell ref="A327:C327"/>
    <mergeCell ref="B328:C328"/>
    <mergeCell ref="A341:C341"/>
    <mergeCell ref="D313:D316"/>
    <mergeCell ref="E313:F316"/>
    <mergeCell ref="G313:G316"/>
    <mergeCell ref="A314:C314"/>
    <mergeCell ref="B315:C315"/>
    <mergeCell ref="A467:C467"/>
    <mergeCell ref="B468:C468"/>
    <mergeCell ref="D469:D471"/>
    <mergeCell ref="E469:F471"/>
    <mergeCell ref="G469:G471"/>
    <mergeCell ref="A470:C470"/>
    <mergeCell ref="B471:C471"/>
    <mergeCell ref="A126:C126"/>
    <mergeCell ref="A127:C127"/>
    <mergeCell ref="B128:C128"/>
    <mergeCell ref="B129:C129"/>
    <mergeCell ref="D125:D130"/>
    <mergeCell ref="E125:F130"/>
    <mergeCell ref="G125:G130"/>
    <mergeCell ref="D373:D376"/>
    <mergeCell ref="E373:F376"/>
    <mergeCell ref="G373:G376"/>
    <mergeCell ref="A374:C374"/>
    <mergeCell ref="A375:C375"/>
    <mergeCell ref="B376:C376"/>
    <mergeCell ref="A219:C219"/>
    <mergeCell ref="D187:D191"/>
    <mergeCell ref="A200:C200"/>
    <mergeCell ref="G208:G214"/>
    <mergeCell ref="D450:D453"/>
    <mergeCell ref="E450:F453"/>
    <mergeCell ref="G450:G453"/>
    <mergeCell ref="A451:C451"/>
    <mergeCell ref="B452:C452"/>
    <mergeCell ref="A453:C453"/>
    <mergeCell ref="A464:C464"/>
    <mergeCell ref="B465:C465"/>
    <mergeCell ref="A271:C271"/>
    <mergeCell ref="D346:D349"/>
    <mergeCell ref="E346:F349"/>
    <mergeCell ref="G346:G349"/>
    <mergeCell ref="A347:C347"/>
    <mergeCell ref="A348:C348"/>
    <mergeCell ref="B349:C349"/>
    <mergeCell ref="A329:C329"/>
    <mergeCell ref="G317:G321"/>
    <mergeCell ref="A318:C318"/>
    <mergeCell ref="B319:C319"/>
    <mergeCell ref="A320:C320"/>
    <mergeCell ref="E330:F333"/>
    <mergeCell ref="E288:F291"/>
    <mergeCell ref="D394:D397"/>
    <mergeCell ref="E394:F397"/>
    <mergeCell ref="G394:G397"/>
    <mergeCell ref="A395:C395"/>
    <mergeCell ref="B396:C396"/>
    <mergeCell ref="A397:C397"/>
    <mergeCell ref="D177:D181"/>
    <mergeCell ref="E177:F181"/>
    <mergeCell ref="G177:G181"/>
    <mergeCell ref="A178:C178"/>
    <mergeCell ref="B180:C180"/>
    <mergeCell ref="A181:C181"/>
    <mergeCell ref="D228:D232"/>
    <mergeCell ref="E228:F232"/>
    <mergeCell ref="G228:G232"/>
    <mergeCell ref="A229:C229"/>
    <mergeCell ref="B230:C230"/>
    <mergeCell ref="A231:C231"/>
    <mergeCell ref="B232:C232"/>
    <mergeCell ref="A188:C188"/>
    <mergeCell ref="B189:C189"/>
    <mergeCell ref="A190:C190"/>
    <mergeCell ref="B191:C191"/>
    <mergeCell ref="G338:G341"/>
    <mergeCell ref="A339:C339"/>
    <mergeCell ref="B340:C340"/>
    <mergeCell ref="A316:C316"/>
    <mergeCell ref="A331:C331"/>
    <mergeCell ref="A332:C332"/>
    <mergeCell ref="B333:C333"/>
    <mergeCell ref="D330:D333"/>
    <mergeCell ref="D334:D337"/>
    <mergeCell ref="E334:F337"/>
    <mergeCell ref="G334:G337"/>
    <mergeCell ref="G330:G333"/>
    <mergeCell ref="E322:F325"/>
    <mergeCell ref="G322:G325"/>
    <mergeCell ref="A323:C323"/>
    <mergeCell ref="G54:G61"/>
    <mergeCell ref="G22:G26"/>
    <mergeCell ref="G27:G31"/>
    <mergeCell ref="B58:C58"/>
    <mergeCell ref="B59:C59"/>
    <mergeCell ref="B61:C61"/>
    <mergeCell ref="G40:G45"/>
    <mergeCell ref="B56:C56"/>
    <mergeCell ref="D54:D61"/>
    <mergeCell ref="E54:F61"/>
    <mergeCell ref="D32:D39"/>
    <mergeCell ref="E32:F39"/>
    <mergeCell ref="G32:G39"/>
    <mergeCell ref="A33:C33"/>
    <mergeCell ref="B35:C35"/>
    <mergeCell ref="A37:C37"/>
    <mergeCell ref="G46:G53"/>
    <mergeCell ref="B44:C44"/>
    <mergeCell ref="A45:C45"/>
    <mergeCell ref="D40:D45"/>
    <mergeCell ref="E40:F45"/>
    <mergeCell ref="A50:C50"/>
    <mergeCell ref="B51:C51"/>
    <mergeCell ref="B52:C52"/>
    <mergeCell ref="G292:G296"/>
    <mergeCell ref="D263:D267"/>
    <mergeCell ref="A293:C293"/>
    <mergeCell ref="D301:D304"/>
    <mergeCell ref="E301:F304"/>
    <mergeCell ref="G301:G304"/>
    <mergeCell ref="A302:C302"/>
    <mergeCell ref="B303:C303"/>
    <mergeCell ref="A304:C304"/>
    <mergeCell ref="B296:C296"/>
    <mergeCell ref="A289:C289"/>
    <mergeCell ref="D292:D296"/>
    <mergeCell ref="E292:F296"/>
    <mergeCell ref="G279:G283"/>
    <mergeCell ref="A280:C280"/>
    <mergeCell ref="B281:C281"/>
    <mergeCell ref="A283:C283"/>
    <mergeCell ref="B272:C272"/>
    <mergeCell ref="D288:D291"/>
    <mergeCell ref="A41:C41"/>
    <mergeCell ref="B42:C42"/>
    <mergeCell ref="B43:C43"/>
    <mergeCell ref="A47:C47"/>
    <mergeCell ref="B201:C201"/>
    <mergeCell ref="B202:C202"/>
    <mergeCell ref="G233:G236"/>
    <mergeCell ref="B258:C258"/>
    <mergeCell ref="A216:C216"/>
    <mergeCell ref="G249:G255"/>
    <mergeCell ref="A250:C250"/>
    <mergeCell ref="B251:C251"/>
    <mergeCell ref="B252:C252"/>
    <mergeCell ref="A253:C253"/>
    <mergeCell ref="B254:C254"/>
    <mergeCell ref="B255:C255"/>
    <mergeCell ref="E223:F223"/>
    <mergeCell ref="D215:D219"/>
    <mergeCell ref="E215:F219"/>
    <mergeCell ref="G215:G219"/>
    <mergeCell ref="D249:D255"/>
    <mergeCell ref="E249:F255"/>
    <mergeCell ref="D237:D240"/>
    <mergeCell ref="G245:G248"/>
    <mergeCell ref="B39:C39"/>
    <mergeCell ref="B34:C34"/>
    <mergeCell ref="B36:C36"/>
    <mergeCell ref="B38:C38"/>
    <mergeCell ref="A11:C11"/>
    <mergeCell ref="E11:F11"/>
    <mergeCell ref="D27:D31"/>
    <mergeCell ref="E27:F31"/>
    <mergeCell ref="A28:C28"/>
    <mergeCell ref="A29:C29"/>
    <mergeCell ref="B30:C30"/>
    <mergeCell ref="B31:C31"/>
    <mergeCell ref="D22:D26"/>
    <mergeCell ref="E22:F26"/>
    <mergeCell ref="A23:C23"/>
    <mergeCell ref="A24:C24"/>
    <mergeCell ref="B25:C25"/>
    <mergeCell ref="B26:C26"/>
    <mergeCell ref="Q1:U1"/>
    <mergeCell ref="B2:B3"/>
    <mergeCell ref="C2:C3"/>
    <mergeCell ref="D2:D3"/>
    <mergeCell ref="E2:F3"/>
    <mergeCell ref="G2:G3"/>
    <mergeCell ref="H2:H3"/>
    <mergeCell ref="I2:V2"/>
    <mergeCell ref="E8:F8"/>
    <mergeCell ref="W2:W3"/>
    <mergeCell ref="E4:F4"/>
    <mergeCell ref="A5:G5"/>
    <mergeCell ref="A6:C6"/>
    <mergeCell ref="E6:F6"/>
    <mergeCell ref="A7:C7"/>
    <mergeCell ref="E7:F7"/>
    <mergeCell ref="D17:D21"/>
    <mergeCell ref="E17:F21"/>
    <mergeCell ref="G17:G21"/>
    <mergeCell ref="A18:C18"/>
    <mergeCell ref="A19:C19"/>
    <mergeCell ref="B20:C20"/>
    <mergeCell ref="B21:C21"/>
    <mergeCell ref="D12:D16"/>
    <mergeCell ref="E12:F16"/>
    <mergeCell ref="G12:G16"/>
    <mergeCell ref="A13:C13"/>
    <mergeCell ref="A14:C14"/>
    <mergeCell ref="B15:C15"/>
    <mergeCell ref="B16:C16"/>
    <mergeCell ref="A9:G9"/>
    <mergeCell ref="A10:C10"/>
    <mergeCell ref="E10:F10"/>
    <mergeCell ref="A63:C63"/>
    <mergeCell ref="A64:C64"/>
    <mergeCell ref="B60:C60"/>
    <mergeCell ref="D46:D53"/>
    <mergeCell ref="E46:F53"/>
    <mergeCell ref="A55:C55"/>
    <mergeCell ref="A57:C57"/>
    <mergeCell ref="B65:C65"/>
    <mergeCell ref="B66:C66"/>
    <mergeCell ref="D62:D67"/>
    <mergeCell ref="E62:F67"/>
    <mergeCell ref="B48:C48"/>
    <mergeCell ref="B53:C53"/>
    <mergeCell ref="B49:C49"/>
    <mergeCell ref="G62:G67"/>
    <mergeCell ref="B67:C67"/>
    <mergeCell ref="B78:C78"/>
    <mergeCell ref="D73:D78"/>
    <mergeCell ref="G73:G78"/>
    <mergeCell ref="E85:F90"/>
    <mergeCell ref="G85:G90"/>
    <mergeCell ref="A74:C74"/>
    <mergeCell ref="A75:C75"/>
    <mergeCell ref="B88:C88"/>
    <mergeCell ref="B89:C89"/>
    <mergeCell ref="A86:C86"/>
    <mergeCell ref="B90:C90"/>
    <mergeCell ref="D85:D90"/>
    <mergeCell ref="E73:F78"/>
    <mergeCell ref="B76:C76"/>
    <mergeCell ref="B77:C77"/>
    <mergeCell ref="D68:D72"/>
    <mergeCell ref="E68:F72"/>
    <mergeCell ref="G68:G72"/>
    <mergeCell ref="A69:C69"/>
    <mergeCell ref="A70:C70"/>
    <mergeCell ref="B71:C71"/>
    <mergeCell ref="B72:C72"/>
    <mergeCell ref="E103:F107"/>
    <mergeCell ref="G103:G107"/>
    <mergeCell ref="D91:D96"/>
    <mergeCell ref="E91:F96"/>
    <mergeCell ref="G91:G96"/>
    <mergeCell ref="B84:C84"/>
    <mergeCell ref="D79:D84"/>
    <mergeCell ref="E79:F84"/>
    <mergeCell ref="G79:G84"/>
    <mergeCell ref="A92:C92"/>
    <mergeCell ref="A93:C93"/>
    <mergeCell ref="B94:C94"/>
    <mergeCell ref="B95:C95"/>
    <mergeCell ref="D103:D107"/>
    <mergeCell ref="A87:C87"/>
    <mergeCell ref="A80:C80"/>
    <mergeCell ref="A81:C81"/>
    <mergeCell ref="B82:C82"/>
    <mergeCell ref="B83:C83"/>
    <mergeCell ref="B96:C96"/>
    <mergeCell ref="A98:C98"/>
    <mergeCell ref="A99:C99"/>
    <mergeCell ref="B100:C100"/>
    <mergeCell ref="B101:C101"/>
    <mergeCell ref="D108:D112"/>
    <mergeCell ref="A109:C109"/>
    <mergeCell ref="A110:C110"/>
    <mergeCell ref="B111:C111"/>
    <mergeCell ref="B112:C112"/>
    <mergeCell ref="A104:C104"/>
    <mergeCell ref="A105:C105"/>
    <mergeCell ref="B106:C106"/>
    <mergeCell ref="B107:C107"/>
    <mergeCell ref="E151:F159"/>
    <mergeCell ref="B136:C136"/>
    <mergeCell ref="B137:C137"/>
    <mergeCell ref="A132:C132"/>
    <mergeCell ref="B133:C133"/>
    <mergeCell ref="A134:C134"/>
    <mergeCell ref="B135:C135"/>
    <mergeCell ref="B148:C148"/>
    <mergeCell ref="B157:C157"/>
    <mergeCell ref="B154:C154"/>
    <mergeCell ref="B155:C155"/>
    <mergeCell ref="A156:C156"/>
    <mergeCell ref="B149:C149"/>
    <mergeCell ref="B150:C150"/>
    <mergeCell ref="A139:C139"/>
    <mergeCell ref="B140:C140"/>
    <mergeCell ref="A141:C141"/>
    <mergeCell ref="B142:C142"/>
    <mergeCell ref="B143:C143"/>
    <mergeCell ref="A147:C147"/>
    <mergeCell ref="A145:C145"/>
    <mergeCell ref="B146:C146"/>
    <mergeCell ref="B491:C491"/>
    <mergeCell ref="B492:C492"/>
    <mergeCell ref="B493:C493"/>
    <mergeCell ref="A484:C484"/>
    <mergeCell ref="E484:F484"/>
    <mergeCell ref="B485:C485"/>
    <mergeCell ref="B486:C486"/>
    <mergeCell ref="B487:C487"/>
    <mergeCell ref="B488:C488"/>
    <mergeCell ref="A489:C489"/>
    <mergeCell ref="E489:F489"/>
    <mergeCell ref="B490:C490"/>
    <mergeCell ref="B482:C482"/>
    <mergeCell ref="B483:C483"/>
    <mergeCell ref="G172:G176"/>
    <mergeCell ref="A173:C173"/>
    <mergeCell ref="A174:C174"/>
    <mergeCell ref="B175:C175"/>
    <mergeCell ref="B176:C176"/>
    <mergeCell ref="A234:C234"/>
    <mergeCell ref="B235:C235"/>
    <mergeCell ref="E224:F224"/>
    <mergeCell ref="A225:G225"/>
    <mergeCell ref="A226:C226"/>
    <mergeCell ref="E226:F226"/>
    <mergeCell ref="A227:C227"/>
    <mergeCell ref="E227:F227"/>
    <mergeCell ref="E220:F220"/>
    <mergeCell ref="A221:G221"/>
    <mergeCell ref="A222:C222"/>
    <mergeCell ref="E222:F222"/>
    <mergeCell ref="A223:C223"/>
    <mergeCell ref="D466:D468"/>
    <mergeCell ref="E466:F468"/>
    <mergeCell ref="G466:G468"/>
    <mergeCell ref="E454:F454"/>
    <mergeCell ref="B481:C481"/>
    <mergeCell ref="D472:D474"/>
    <mergeCell ref="E472:F474"/>
    <mergeCell ref="G472:G474"/>
    <mergeCell ref="A473:C473"/>
    <mergeCell ref="B474:C474"/>
    <mergeCell ref="A479:C479"/>
    <mergeCell ref="E479:F479"/>
    <mergeCell ref="B480:C480"/>
    <mergeCell ref="D475:D477"/>
    <mergeCell ref="E475:F477"/>
    <mergeCell ref="G475:G477"/>
    <mergeCell ref="A476:C476"/>
    <mergeCell ref="B477:C477"/>
    <mergeCell ref="D463:D465"/>
    <mergeCell ref="E463:F465"/>
    <mergeCell ref="G463:G465"/>
    <mergeCell ref="A455:G455"/>
    <mergeCell ref="A456:C456"/>
    <mergeCell ref="E456:F456"/>
    <mergeCell ref="D457:D459"/>
    <mergeCell ref="E457:F459"/>
    <mergeCell ref="G457:G459"/>
    <mergeCell ref="A458:C458"/>
    <mergeCell ref="B459:C459"/>
    <mergeCell ref="D460:D462"/>
    <mergeCell ref="E460:F462"/>
    <mergeCell ref="G460:G462"/>
    <mergeCell ref="A461:C461"/>
    <mergeCell ref="B462:C462"/>
    <mergeCell ref="E383:F383"/>
    <mergeCell ref="A384:C384"/>
    <mergeCell ref="E384:F384"/>
    <mergeCell ref="A386:C386"/>
    <mergeCell ref="D377:D380"/>
    <mergeCell ref="E377:F380"/>
    <mergeCell ref="G377:G380"/>
    <mergeCell ref="A378:C378"/>
    <mergeCell ref="A379:C379"/>
    <mergeCell ref="B380:C380"/>
    <mergeCell ref="G385:G388"/>
    <mergeCell ref="E381:F381"/>
    <mergeCell ref="A382:G382"/>
    <mergeCell ref="A383:C383"/>
    <mergeCell ref="G363:G367"/>
    <mergeCell ref="A364:C364"/>
    <mergeCell ref="B365:C365"/>
    <mergeCell ref="B366:C366"/>
    <mergeCell ref="A367:C367"/>
    <mergeCell ref="D359:D362"/>
    <mergeCell ref="E359:F362"/>
    <mergeCell ref="G359:G362"/>
    <mergeCell ref="A360:C360"/>
    <mergeCell ref="B361:C361"/>
    <mergeCell ref="A362:C362"/>
    <mergeCell ref="D363:D367"/>
    <mergeCell ref="G355:G358"/>
    <mergeCell ref="A356:C356"/>
    <mergeCell ref="B357:C357"/>
    <mergeCell ref="A358:C358"/>
    <mergeCell ref="A300:C300"/>
    <mergeCell ref="D297:D300"/>
    <mergeCell ref="E297:F300"/>
    <mergeCell ref="A298:C298"/>
    <mergeCell ref="B354:C354"/>
    <mergeCell ref="D350:D354"/>
    <mergeCell ref="E350:F354"/>
    <mergeCell ref="G350:G354"/>
    <mergeCell ref="A351:C351"/>
    <mergeCell ref="B352:C352"/>
    <mergeCell ref="A353:C353"/>
    <mergeCell ref="D342:D345"/>
    <mergeCell ref="G342:G345"/>
    <mergeCell ref="A343:C343"/>
    <mergeCell ref="A344:C344"/>
    <mergeCell ref="B345:C345"/>
    <mergeCell ref="D338:D341"/>
    <mergeCell ref="E338:F341"/>
    <mergeCell ref="D317:D321"/>
    <mergeCell ref="E317:F321"/>
    <mergeCell ref="B391:C391"/>
    <mergeCell ref="D389:D393"/>
    <mergeCell ref="E389:F393"/>
    <mergeCell ref="D273:D278"/>
    <mergeCell ref="E273:F278"/>
    <mergeCell ref="B295:C295"/>
    <mergeCell ref="B277:C277"/>
    <mergeCell ref="B290:C290"/>
    <mergeCell ref="A291:C291"/>
    <mergeCell ref="E363:F367"/>
    <mergeCell ref="B387:C387"/>
    <mergeCell ref="A388:C388"/>
    <mergeCell ref="D385:D388"/>
    <mergeCell ref="E385:F388"/>
    <mergeCell ref="E342:F345"/>
    <mergeCell ref="B324:C324"/>
    <mergeCell ref="B321:C321"/>
    <mergeCell ref="A335:C335"/>
    <mergeCell ref="B336:C336"/>
    <mergeCell ref="A337:C337"/>
    <mergeCell ref="A325:C325"/>
    <mergeCell ref="D322:D325"/>
    <mergeCell ref="D355:D358"/>
    <mergeCell ref="E355:F358"/>
    <mergeCell ref="G389:G393"/>
    <mergeCell ref="A390:C390"/>
    <mergeCell ref="B392:C392"/>
    <mergeCell ref="A393:C393"/>
    <mergeCell ref="D113:D117"/>
    <mergeCell ref="E113:F117"/>
    <mergeCell ref="G113:G117"/>
    <mergeCell ref="A114:C114"/>
    <mergeCell ref="A115:C115"/>
    <mergeCell ref="B116:C116"/>
    <mergeCell ref="B117:C117"/>
    <mergeCell ref="B299:C299"/>
    <mergeCell ref="A209:C209"/>
    <mergeCell ref="B210:C210"/>
    <mergeCell ref="B211:C211"/>
    <mergeCell ref="A212:C212"/>
    <mergeCell ref="G297:G300"/>
    <mergeCell ref="D208:D214"/>
    <mergeCell ref="B259:C259"/>
    <mergeCell ref="A260:C260"/>
    <mergeCell ref="D256:D262"/>
    <mergeCell ref="B278:C278"/>
    <mergeCell ref="A294:C294"/>
    <mergeCell ref="E256:F262"/>
    <mergeCell ref="A311:C311"/>
    <mergeCell ref="B312:C312"/>
    <mergeCell ref="E172:F176"/>
    <mergeCell ref="D160:D166"/>
    <mergeCell ref="E160:F166"/>
    <mergeCell ref="G160:G166"/>
    <mergeCell ref="E187:F191"/>
    <mergeCell ref="G187:G191"/>
    <mergeCell ref="D167:D171"/>
    <mergeCell ref="B282:C282"/>
    <mergeCell ref="D279:D283"/>
    <mergeCell ref="E279:F283"/>
    <mergeCell ref="E167:F171"/>
    <mergeCell ref="G167:G171"/>
    <mergeCell ref="A168:C168"/>
    <mergeCell ref="B169:C169"/>
    <mergeCell ref="B170:C170"/>
    <mergeCell ref="A171:C171"/>
    <mergeCell ref="A161:C161"/>
    <mergeCell ref="B165:C165"/>
    <mergeCell ref="B166:C166"/>
    <mergeCell ref="B162:C162"/>
    <mergeCell ref="B163:C163"/>
    <mergeCell ref="G288:G291"/>
    <mergeCell ref="B102:C102"/>
    <mergeCell ref="D97:D102"/>
    <mergeCell ref="E97:F102"/>
    <mergeCell ref="G97:G102"/>
    <mergeCell ref="G108:G112"/>
    <mergeCell ref="E108:F112"/>
    <mergeCell ref="G199:G207"/>
    <mergeCell ref="D138:D143"/>
    <mergeCell ref="E138:F143"/>
    <mergeCell ref="D172:D176"/>
    <mergeCell ref="G138:G143"/>
    <mergeCell ref="D144:D150"/>
    <mergeCell ref="E144:F150"/>
    <mergeCell ref="G144:G150"/>
    <mergeCell ref="G151:G159"/>
    <mergeCell ref="G131:G137"/>
    <mergeCell ref="D151:D159"/>
    <mergeCell ref="E131:F137"/>
    <mergeCell ref="D131:D137"/>
    <mergeCell ref="A152:C152"/>
    <mergeCell ref="B153:C153"/>
    <mergeCell ref="A164:C164"/>
    <mergeCell ref="B158:C158"/>
    <mergeCell ref="B159:C159"/>
    <mergeCell ref="B261:C261"/>
    <mergeCell ref="G256:G262"/>
    <mergeCell ref="D398:D401"/>
    <mergeCell ref="A399:C399"/>
    <mergeCell ref="B400:C400"/>
    <mergeCell ref="A401:C401"/>
    <mergeCell ref="D402:D405"/>
    <mergeCell ref="A403:C403"/>
    <mergeCell ref="B404:C404"/>
    <mergeCell ref="A405:C405"/>
    <mergeCell ref="E398:F401"/>
    <mergeCell ref="E402:F405"/>
    <mergeCell ref="A257:C257"/>
    <mergeCell ref="B262:C262"/>
    <mergeCell ref="D305:D308"/>
    <mergeCell ref="E305:F308"/>
    <mergeCell ref="G305:G308"/>
    <mergeCell ref="A306:C306"/>
    <mergeCell ref="A307:C307"/>
    <mergeCell ref="B308:C308"/>
    <mergeCell ref="D309:D312"/>
    <mergeCell ref="E309:F312"/>
    <mergeCell ref="G309:G312"/>
    <mergeCell ref="A310:C310"/>
    <mergeCell ref="D406:D409"/>
    <mergeCell ref="A407:C407"/>
    <mergeCell ref="B408:C408"/>
    <mergeCell ref="A409:C409"/>
    <mergeCell ref="D410:D413"/>
    <mergeCell ref="A411:C411"/>
    <mergeCell ref="B412:C412"/>
    <mergeCell ref="A413:C413"/>
    <mergeCell ref="E406:F409"/>
    <mergeCell ref="E410:F413"/>
    <mergeCell ref="D414:D417"/>
    <mergeCell ref="A415:C415"/>
    <mergeCell ref="B416:C416"/>
    <mergeCell ref="A417:C417"/>
    <mergeCell ref="D418:D421"/>
    <mergeCell ref="A419:C419"/>
    <mergeCell ref="B420:C420"/>
    <mergeCell ref="A421:C421"/>
    <mergeCell ref="E414:F417"/>
    <mergeCell ref="E418:F421"/>
    <mergeCell ref="D422:D425"/>
    <mergeCell ref="A423:C423"/>
    <mergeCell ref="B424:C424"/>
    <mergeCell ref="A425:C425"/>
    <mergeCell ref="D426:D429"/>
    <mergeCell ref="A427:C427"/>
    <mergeCell ref="B428:C428"/>
    <mergeCell ref="A429:C429"/>
    <mergeCell ref="E422:F425"/>
    <mergeCell ref="E426:F429"/>
    <mergeCell ref="D430:D433"/>
    <mergeCell ref="A431:C431"/>
    <mergeCell ref="B432:C432"/>
    <mergeCell ref="A433:C433"/>
    <mergeCell ref="D434:D437"/>
    <mergeCell ref="A435:C435"/>
    <mergeCell ref="B436:C436"/>
    <mergeCell ref="A437:C437"/>
    <mergeCell ref="E430:F433"/>
    <mergeCell ref="E434:F437"/>
    <mergeCell ref="D446:D449"/>
    <mergeCell ref="A447:C447"/>
    <mergeCell ref="B448:C448"/>
    <mergeCell ref="A449:C449"/>
    <mergeCell ref="E446:F449"/>
    <mergeCell ref="D438:D441"/>
    <mergeCell ref="A439:C439"/>
    <mergeCell ref="B440:C440"/>
    <mergeCell ref="A441:C441"/>
    <mergeCell ref="D442:D445"/>
    <mergeCell ref="A443:C443"/>
    <mergeCell ref="B444:C444"/>
    <mergeCell ref="A445:C445"/>
    <mergeCell ref="E438:F441"/>
    <mergeCell ref="E442:F445"/>
    <mergeCell ref="G434:G437"/>
    <mergeCell ref="G438:G441"/>
    <mergeCell ref="G442:G445"/>
    <mergeCell ref="G446:G449"/>
    <mergeCell ref="G398:G401"/>
    <mergeCell ref="G402:G405"/>
    <mergeCell ref="G406:G409"/>
    <mergeCell ref="G410:G413"/>
    <mergeCell ref="G414:G417"/>
    <mergeCell ref="G418:G421"/>
    <mergeCell ref="G422:G425"/>
    <mergeCell ref="G426:G429"/>
    <mergeCell ref="G430:G433"/>
    <mergeCell ref="E237:F240"/>
    <mergeCell ref="B244:C244"/>
    <mergeCell ref="A246:C246"/>
    <mergeCell ref="A247:C247"/>
    <mergeCell ref="B248:C248"/>
    <mergeCell ref="D245:D248"/>
    <mergeCell ref="E245:F248"/>
    <mergeCell ref="E241:F244"/>
    <mergeCell ref="D241:D244"/>
    <mergeCell ref="A242:C242"/>
    <mergeCell ref="A243:C243"/>
    <mergeCell ref="A119:C119"/>
    <mergeCell ref="A120:C120"/>
    <mergeCell ref="B121:C121"/>
    <mergeCell ref="B122:C122"/>
    <mergeCell ref="B123:C123"/>
    <mergeCell ref="B124:C124"/>
    <mergeCell ref="D118:D124"/>
    <mergeCell ref="E118:F124"/>
    <mergeCell ref="G118:G124"/>
  </mergeCells>
  <printOptions horizontalCentered="1"/>
  <pageMargins left="0" right="0" top="7.874015748031496E-2" bottom="0.39370078740157483" header="0.31496062992125984" footer="0.31496062992125984"/>
  <pageSetup paperSize="9" scale="51" orientation="landscape" r:id="rId1"/>
  <headerFooter>
    <oddFooter>Strona &amp;P z &amp;N</oddFooter>
  </headerFooter>
  <rowBreaks count="15" manualBreakCount="15">
    <brk id="31" max="22" man="1"/>
    <brk id="67" max="22" man="1"/>
    <brk id="102" max="22" man="1"/>
    <brk id="137" max="22" man="1"/>
    <brk id="171" max="22" man="1"/>
    <brk id="191" max="22" man="1"/>
    <brk id="223" max="22" man="1"/>
    <brk id="248" max="22" man="1"/>
    <brk id="267" max="22" man="1"/>
    <brk id="304" max="22" man="1"/>
    <brk id="333" max="22" man="1"/>
    <brk id="367" max="22" man="1"/>
    <brk id="401" max="22" man="1"/>
    <brk id="441" max="22" man="1"/>
    <brk id="46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sierpień autop</vt:lpstr>
      <vt:lpstr>'sierpień autop'!Obszar_wydruku</vt:lpstr>
      <vt:lpstr>'sierpień autop'!Tytuły_wydruku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m.tomaka</dc:creator>
  <cp:lastModifiedBy>e.foremny</cp:lastModifiedBy>
  <cp:lastPrinted>2012-08-22T09:33:39Z</cp:lastPrinted>
  <dcterms:created xsi:type="dcterms:W3CDTF">2010-11-22T13:13:19Z</dcterms:created>
  <dcterms:modified xsi:type="dcterms:W3CDTF">2012-08-23T06:59:12Z</dcterms:modified>
</cp:coreProperties>
</file>