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1120" windowHeight="9720"/>
  </bookViews>
  <sheets>
    <sheet name="WPF 2013" sheetId="1" r:id="rId1"/>
  </sheets>
  <definedNames>
    <definedName name="_xlnm.Print_Area" localSheetId="0">'WPF 2013'!$A$1:$V$366</definedName>
    <definedName name="_xlnm.Print_Titles" localSheetId="0">'WPF 2013'!$2:$3</definedName>
  </definedNames>
  <calcPr calcId="125725"/>
</workbook>
</file>

<file path=xl/calcChain.xml><?xml version="1.0" encoding="utf-8"?>
<calcChain xmlns="http://schemas.openxmlformats.org/spreadsheetml/2006/main">
  <c r="V413" i="1"/>
  <c r="V412"/>
  <c r="V411"/>
  <c r="V410"/>
  <c r="V409"/>
  <c r="V408"/>
  <c r="V407"/>
  <c r="V406"/>
  <c r="V405"/>
  <c r="V403"/>
  <c r="V402"/>
  <c r="V401"/>
  <c r="V400"/>
  <c r="V380"/>
  <c r="U380"/>
  <c r="T380"/>
  <c r="S380"/>
  <c r="R380"/>
  <c r="Q380"/>
  <c r="P380"/>
  <c r="O380"/>
  <c r="N380"/>
  <c r="M380"/>
  <c r="L380"/>
  <c r="K380"/>
  <c r="J380"/>
  <c r="I380"/>
  <c r="H380"/>
  <c r="V379"/>
  <c r="U379"/>
  <c r="T379"/>
  <c r="S379"/>
  <c r="R379"/>
  <c r="Q379"/>
  <c r="P379"/>
  <c r="O379"/>
  <c r="N379"/>
  <c r="M379"/>
  <c r="L379"/>
  <c r="K379"/>
  <c r="J379"/>
  <c r="I379"/>
  <c r="H379"/>
  <c r="W372"/>
  <c r="V370"/>
  <c r="U366"/>
  <c r="U413" s="1"/>
  <c r="T366"/>
  <c r="T413" s="1"/>
  <c r="S366"/>
  <c r="S413" s="1"/>
  <c r="R366"/>
  <c r="R413" s="1"/>
  <c r="Q366"/>
  <c r="Q413" s="1"/>
  <c r="P366"/>
  <c r="P413" s="1"/>
  <c r="O366"/>
  <c r="O413" s="1"/>
  <c r="N366"/>
  <c r="N413" s="1"/>
  <c r="M366"/>
  <c r="M413" s="1"/>
  <c r="L366"/>
  <c r="L413" s="1"/>
  <c r="K366"/>
  <c r="K413" s="1"/>
  <c r="J366"/>
  <c r="J413" s="1"/>
  <c r="I366"/>
  <c r="I413" s="1"/>
  <c r="H366"/>
  <c r="H413" s="1"/>
  <c r="U365"/>
  <c r="U412" s="1"/>
  <c r="T365"/>
  <c r="T412" s="1"/>
  <c r="S365"/>
  <c r="S412" s="1"/>
  <c r="R365"/>
  <c r="R412" s="1"/>
  <c r="Q365"/>
  <c r="Q412" s="1"/>
  <c r="P365"/>
  <c r="P412" s="1"/>
  <c r="O365"/>
  <c r="O412" s="1"/>
  <c r="N365"/>
  <c r="N412" s="1"/>
  <c r="M365"/>
  <c r="M412" s="1"/>
  <c r="L365"/>
  <c r="L412" s="1"/>
  <c r="J365"/>
  <c r="J412" s="1"/>
  <c r="I365"/>
  <c r="I412" s="1"/>
  <c r="H365"/>
  <c r="H412" s="1"/>
  <c r="U364"/>
  <c r="U411" s="1"/>
  <c r="T364"/>
  <c r="T411" s="1"/>
  <c r="S364"/>
  <c r="S411" s="1"/>
  <c r="R364"/>
  <c r="R411" s="1"/>
  <c r="Q364"/>
  <c r="Q411" s="1"/>
  <c r="P364"/>
  <c r="P411" s="1"/>
  <c r="O364"/>
  <c r="O411" s="1"/>
  <c r="N364"/>
  <c r="N411" s="1"/>
  <c r="M364"/>
  <c r="M411" s="1"/>
  <c r="L364"/>
  <c r="L411" s="1"/>
  <c r="H364"/>
  <c r="H411" s="1"/>
  <c r="U363"/>
  <c r="U410" s="1"/>
  <c r="T363"/>
  <c r="T410" s="1"/>
  <c r="T409" s="1"/>
  <c r="S363"/>
  <c r="S410" s="1"/>
  <c r="R363"/>
  <c r="R410" s="1"/>
  <c r="R409" s="1"/>
  <c r="Q363"/>
  <c r="Q410" s="1"/>
  <c r="P363"/>
  <c r="P410" s="1"/>
  <c r="P409" s="1"/>
  <c r="O363"/>
  <c r="O410" s="1"/>
  <c r="N363"/>
  <c r="N410" s="1"/>
  <c r="N409" s="1"/>
  <c r="M363"/>
  <c r="M410" s="1"/>
  <c r="L363"/>
  <c r="L410" s="1"/>
  <c r="L409" s="1"/>
  <c r="K363"/>
  <c r="K410" s="1"/>
  <c r="J363"/>
  <c r="J410" s="1"/>
  <c r="I363"/>
  <c r="I410" s="1"/>
  <c r="U362"/>
  <c r="T362"/>
  <c r="S362"/>
  <c r="R362"/>
  <c r="Q362"/>
  <c r="P362"/>
  <c r="O362"/>
  <c r="N362"/>
  <c r="M362"/>
  <c r="L362"/>
  <c r="U361"/>
  <c r="U408" s="1"/>
  <c r="U403" s="1"/>
  <c r="T361"/>
  <c r="T408" s="1"/>
  <c r="S361"/>
  <c r="S408" s="1"/>
  <c r="S403" s="1"/>
  <c r="R361"/>
  <c r="R408" s="1"/>
  <c r="Q361"/>
  <c r="Q408" s="1"/>
  <c r="Q403" s="1"/>
  <c r="P361"/>
  <c r="P408" s="1"/>
  <c r="O361"/>
  <c r="O408" s="1"/>
  <c r="O403" s="1"/>
  <c r="N361"/>
  <c r="N408" s="1"/>
  <c r="M361"/>
  <c r="M408" s="1"/>
  <c r="M403" s="1"/>
  <c r="L361"/>
  <c r="L408" s="1"/>
  <c r="K361"/>
  <c r="K408" s="1"/>
  <c r="K403" s="1"/>
  <c r="J361"/>
  <c r="J408" s="1"/>
  <c r="I361"/>
  <c r="I408" s="1"/>
  <c r="I403" s="1"/>
  <c r="H361"/>
  <c r="H408" s="1"/>
  <c r="U360"/>
  <c r="U407" s="1"/>
  <c r="U402" s="1"/>
  <c r="T360"/>
  <c r="T407" s="1"/>
  <c r="S360"/>
  <c r="S407" s="1"/>
  <c r="S402" s="1"/>
  <c r="R360"/>
  <c r="R407" s="1"/>
  <c r="Q360"/>
  <c r="Q407" s="1"/>
  <c r="Q402" s="1"/>
  <c r="P360"/>
  <c r="P407" s="1"/>
  <c r="O360"/>
  <c r="O407" s="1"/>
  <c r="O402" s="1"/>
  <c r="N360"/>
  <c r="N407" s="1"/>
  <c r="M360"/>
  <c r="M407" s="1"/>
  <c r="M402" s="1"/>
  <c r="L360"/>
  <c r="L407" s="1"/>
  <c r="I360"/>
  <c r="I407" s="1"/>
  <c r="I402" s="1"/>
  <c r="H360"/>
  <c r="H407" s="1"/>
  <c r="H402" s="1"/>
  <c r="U359"/>
  <c r="T359"/>
  <c r="T406" s="1"/>
  <c r="T401" s="1"/>
  <c r="S359"/>
  <c r="R359"/>
  <c r="R406" s="1"/>
  <c r="R401" s="1"/>
  <c r="Q359"/>
  <c r="P359"/>
  <c r="P406" s="1"/>
  <c r="P401" s="1"/>
  <c r="O359"/>
  <c r="N359"/>
  <c r="N406" s="1"/>
  <c r="N401" s="1"/>
  <c r="M359"/>
  <c r="L359"/>
  <c r="L406" s="1"/>
  <c r="L401" s="1"/>
  <c r="U358"/>
  <c r="U405" s="1"/>
  <c r="T358"/>
  <c r="T405" s="1"/>
  <c r="S358"/>
  <c r="S405" s="1"/>
  <c r="R358"/>
  <c r="R405" s="1"/>
  <c r="Q358"/>
  <c r="Q405" s="1"/>
  <c r="P358"/>
  <c r="P405" s="1"/>
  <c r="O358"/>
  <c r="O405" s="1"/>
  <c r="N358"/>
  <c r="N405" s="1"/>
  <c r="M358"/>
  <c r="M405" s="1"/>
  <c r="L358"/>
  <c r="L405" s="1"/>
  <c r="K358"/>
  <c r="K405" s="1"/>
  <c r="J358"/>
  <c r="J405" s="1"/>
  <c r="I358"/>
  <c r="I405" s="1"/>
  <c r="H358"/>
  <c r="H405" s="1"/>
  <c r="U357"/>
  <c r="U368" s="1"/>
  <c r="T357"/>
  <c r="T367" s="1"/>
  <c r="S357"/>
  <c r="S368" s="1"/>
  <c r="R357"/>
  <c r="R367" s="1"/>
  <c r="Q357"/>
  <c r="Q368" s="1"/>
  <c r="P357"/>
  <c r="P367" s="1"/>
  <c r="O357"/>
  <c r="O368" s="1"/>
  <c r="N357"/>
  <c r="N367" s="1"/>
  <c r="M357"/>
  <c r="M368" s="1"/>
  <c r="L357"/>
  <c r="L367" s="1"/>
  <c r="U356"/>
  <c r="T356"/>
  <c r="S356"/>
  <c r="R356"/>
  <c r="Q356"/>
  <c r="P356"/>
  <c r="O356"/>
  <c r="N356"/>
  <c r="M356"/>
  <c r="L356"/>
  <c r="K356"/>
  <c r="J356"/>
  <c r="I356"/>
  <c r="H356"/>
  <c r="U355"/>
  <c r="T355"/>
  <c r="S355"/>
  <c r="R355"/>
  <c r="Q355"/>
  <c r="P355"/>
  <c r="O355"/>
  <c r="N355"/>
  <c r="M355"/>
  <c r="L355"/>
  <c r="I355"/>
  <c r="H355"/>
  <c r="U354"/>
  <c r="T354"/>
  <c r="S354"/>
  <c r="R354"/>
  <c r="Q354"/>
  <c r="P354"/>
  <c r="O354"/>
  <c r="N354"/>
  <c r="M354"/>
  <c r="L354"/>
  <c r="U353"/>
  <c r="T353"/>
  <c r="S353"/>
  <c r="R353"/>
  <c r="Q353"/>
  <c r="P353"/>
  <c r="O353"/>
  <c r="N353"/>
  <c r="M353"/>
  <c r="L353"/>
  <c r="K353"/>
  <c r="J353"/>
  <c r="I353"/>
  <c r="U352"/>
  <c r="T352"/>
  <c r="S352"/>
  <c r="R352"/>
  <c r="Q352"/>
  <c r="P352"/>
  <c r="O352"/>
  <c r="N352"/>
  <c r="M352"/>
  <c r="L352"/>
  <c r="K349"/>
  <c r="J349"/>
  <c r="I349"/>
  <c r="H349"/>
  <c r="K348"/>
  <c r="J348"/>
  <c r="I348"/>
  <c r="H348"/>
  <c r="J346"/>
  <c r="I346"/>
  <c r="J345"/>
  <c r="I345"/>
  <c r="L343"/>
  <c r="K343"/>
  <c r="J343"/>
  <c r="I343"/>
  <c r="L342"/>
  <c r="K342"/>
  <c r="J342"/>
  <c r="I342"/>
  <c r="S340"/>
  <c r="R340"/>
  <c r="Q340"/>
  <c r="P340"/>
  <c r="O340"/>
  <c r="N340"/>
  <c r="M340"/>
  <c r="L340"/>
  <c r="K340"/>
  <c r="J340"/>
  <c r="I340"/>
  <c r="S339"/>
  <c r="R339"/>
  <c r="Q339"/>
  <c r="P339"/>
  <c r="O339"/>
  <c r="N339"/>
  <c r="M339"/>
  <c r="L339"/>
  <c r="K339"/>
  <c r="J339"/>
  <c r="I339"/>
  <c r="J337"/>
  <c r="I337"/>
  <c r="J336"/>
  <c r="I336"/>
  <c r="R334"/>
  <c r="Q334"/>
  <c r="P334"/>
  <c r="O334"/>
  <c r="N334"/>
  <c r="M334"/>
  <c r="L334"/>
  <c r="K334"/>
  <c r="J334"/>
  <c r="I334"/>
  <c r="R333"/>
  <c r="Q333"/>
  <c r="P333"/>
  <c r="O333"/>
  <c r="N333"/>
  <c r="M333"/>
  <c r="L333"/>
  <c r="K333"/>
  <c r="J333"/>
  <c r="I333"/>
  <c r="U332"/>
  <c r="T332"/>
  <c r="S332"/>
  <c r="R332"/>
  <c r="Q332"/>
  <c r="P332"/>
  <c r="O332"/>
  <c r="N332"/>
  <c r="M332"/>
  <c r="L332"/>
  <c r="K332"/>
  <c r="J332"/>
  <c r="I332"/>
  <c r="H332"/>
  <c r="V331"/>
  <c r="V367" s="1"/>
  <c r="U331"/>
  <c r="U369" s="1"/>
  <c r="T331"/>
  <c r="T369" s="1"/>
  <c r="S331"/>
  <c r="S369" s="1"/>
  <c r="R331"/>
  <c r="R369" s="1"/>
  <c r="Q331"/>
  <c r="Q369" s="1"/>
  <c r="P331"/>
  <c r="P369" s="1"/>
  <c r="O331"/>
  <c r="O369" s="1"/>
  <c r="N331"/>
  <c r="N369" s="1"/>
  <c r="M331"/>
  <c r="M369" s="1"/>
  <c r="L331"/>
  <c r="L369" s="1"/>
  <c r="K331"/>
  <c r="K369" s="1"/>
  <c r="J331"/>
  <c r="J369" s="1"/>
  <c r="I331"/>
  <c r="I369" s="1"/>
  <c r="H331"/>
  <c r="H369" s="1"/>
  <c r="K327"/>
  <c r="J327"/>
  <c r="I327"/>
  <c r="H327"/>
  <c r="K326"/>
  <c r="J326"/>
  <c r="I326"/>
  <c r="H326"/>
  <c r="J323"/>
  <c r="I323"/>
  <c r="H323"/>
  <c r="J322"/>
  <c r="I322"/>
  <c r="H322"/>
  <c r="J319"/>
  <c r="I319"/>
  <c r="H319"/>
  <c r="J318"/>
  <c r="I318"/>
  <c r="H318"/>
  <c r="J315"/>
  <c r="I315"/>
  <c r="H315"/>
  <c r="J314"/>
  <c r="I314"/>
  <c r="H314"/>
  <c r="K311"/>
  <c r="J311"/>
  <c r="I311"/>
  <c r="H311"/>
  <c r="K310"/>
  <c r="J310"/>
  <c r="I310"/>
  <c r="H310"/>
  <c r="J307"/>
  <c r="I307"/>
  <c r="H307"/>
  <c r="J306"/>
  <c r="I306"/>
  <c r="H306"/>
  <c r="J303"/>
  <c r="I303"/>
  <c r="H303"/>
  <c r="J302"/>
  <c r="I302"/>
  <c r="H302"/>
  <c r="J299"/>
  <c r="I299"/>
  <c r="H299"/>
  <c r="J298"/>
  <c r="I298"/>
  <c r="H298"/>
  <c r="J295"/>
  <c r="I295"/>
  <c r="H295"/>
  <c r="J294"/>
  <c r="I294"/>
  <c r="H294"/>
  <c r="K291"/>
  <c r="J291"/>
  <c r="I291"/>
  <c r="H291"/>
  <c r="K290"/>
  <c r="J290"/>
  <c r="I290"/>
  <c r="H290"/>
  <c r="J287"/>
  <c r="I287"/>
  <c r="H287"/>
  <c r="J286"/>
  <c r="I286"/>
  <c r="H286"/>
  <c r="J282"/>
  <c r="I282"/>
  <c r="H282"/>
  <c r="J281"/>
  <c r="I281"/>
  <c r="H281"/>
  <c r="J278"/>
  <c r="I278"/>
  <c r="H278"/>
  <c r="J277"/>
  <c r="I277"/>
  <c r="H277"/>
  <c r="U276"/>
  <c r="T276"/>
  <c r="S276"/>
  <c r="R276"/>
  <c r="Q276"/>
  <c r="P276"/>
  <c r="O276"/>
  <c r="N276"/>
  <c r="M276"/>
  <c r="L276"/>
  <c r="K276"/>
  <c r="J276"/>
  <c r="I276"/>
  <c r="H276"/>
  <c r="U275"/>
  <c r="T275"/>
  <c r="S275"/>
  <c r="R275"/>
  <c r="Q275"/>
  <c r="P275"/>
  <c r="O275"/>
  <c r="N275"/>
  <c r="M275"/>
  <c r="L275"/>
  <c r="K275"/>
  <c r="J275"/>
  <c r="I275"/>
  <c r="H275"/>
  <c r="V274"/>
  <c r="U274"/>
  <c r="T274"/>
  <c r="S274"/>
  <c r="R274"/>
  <c r="Q274"/>
  <c r="P274"/>
  <c r="O274"/>
  <c r="N274"/>
  <c r="M274"/>
  <c r="L274"/>
  <c r="K274"/>
  <c r="J274"/>
  <c r="I274"/>
  <c r="H274"/>
  <c r="J271"/>
  <c r="I271"/>
  <c r="I269" s="1"/>
  <c r="H271"/>
  <c r="J269"/>
  <c r="H269"/>
  <c r="K265"/>
  <c r="J265"/>
  <c r="I265"/>
  <c r="H265"/>
  <c r="K264"/>
  <c r="J264"/>
  <c r="I264"/>
  <c r="H264"/>
  <c r="P261"/>
  <c r="O261"/>
  <c r="O260" s="1"/>
  <c r="N261"/>
  <c r="M261"/>
  <c r="M260" s="1"/>
  <c r="L261"/>
  <c r="K261"/>
  <c r="K260" s="1"/>
  <c r="J261"/>
  <c r="I261"/>
  <c r="I260" s="1"/>
  <c r="H261"/>
  <c r="P260"/>
  <c r="N260"/>
  <c r="L260"/>
  <c r="J260"/>
  <c r="H260"/>
  <c r="H258"/>
  <c r="K257"/>
  <c r="J257"/>
  <c r="I257"/>
  <c r="H257"/>
  <c r="K256"/>
  <c r="J256"/>
  <c r="I256"/>
  <c r="H256"/>
  <c r="I254"/>
  <c r="I377" s="1"/>
  <c r="U253"/>
  <c r="T253"/>
  <c r="S253"/>
  <c r="R253"/>
  <c r="Q253"/>
  <c r="P253"/>
  <c r="O253"/>
  <c r="N253"/>
  <c r="M253"/>
  <c r="L253"/>
  <c r="K253"/>
  <c r="J253"/>
  <c r="I253"/>
  <c r="H253"/>
  <c r="U252"/>
  <c r="U372" s="1"/>
  <c r="T252"/>
  <c r="T372" s="1"/>
  <c r="S252"/>
  <c r="S372" s="1"/>
  <c r="R252"/>
  <c r="R372" s="1"/>
  <c r="Q252"/>
  <c r="Q372" s="1"/>
  <c r="P252"/>
  <c r="O252"/>
  <c r="N252"/>
  <c r="M252"/>
  <c r="L252"/>
  <c r="K252"/>
  <c r="J252"/>
  <c r="I252"/>
  <c r="H252"/>
  <c r="M249"/>
  <c r="L249"/>
  <c r="K249"/>
  <c r="J249"/>
  <c r="I249"/>
  <c r="H249"/>
  <c r="M248"/>
  <c r="L248"/>
  <c r="K248"/>
  <c r="J248"/>
  <c r="I248"/>
  <c r="H248"/>
  <c r="H246"/>
  <c r="H359" s="1"/>
  <c r="J245"/>
  <c r="I245"/>
  <c r="H245"/>
  <c r="V244"/>
  <c r="J244"/>
  <c r="I244"/>
  <c r="H244"/>
  <c r="K243"/>
  <c r="K365" s="1"/>
  <c r="K412" s="1"/>
  <c r="K242"/>
  <c r="J242"/>
  <c r="I242"/>
  <c r="H242"/>
  <c r="K241"/>
  <c r="K240" s="1"/>
  <c r="J240"/>
  <c r="I240"/>
  <c r="H240"/>
  <c r="J239"/>
  <c r="I239"/>
  <c r="H239"/>
  <c r="K236"/>
  <c r="J236"/>
  <c r="I236"/>
  <c r="H236"/>
  <c r="K235"/>
  <c r="J235"/>
  <c r="I235"/>
  <c r="H235"/>
  <c r="J233"/>
  <c r="I233"/>
  <c r="I231" s="1"/>
  <c r="H233"/>
  <c r="J231"/>
  <c r="H231"/>
  <c r="K228"/>
  <c r="J228"/>
  <c r="I228"/>
  <c r="H228"/>
  <c r="K227"/>
  <c r="J227"/>
  <c r="I227"/>
  <c r="H227"/>
  <c r="N224"/>
  <c r="M224"/>
  <c r="L224"/>
  <c r="K224"/>
  <c r="J224"/>
  <c r="I224"/>
  <c r="H224"/>
  <c r="N222"/>
  <c r="M222"/>
  <c r="L222"/>
  <c r="K222"/>
  <c r="J222"/>
  <c r="I222"/>
  <c r="H222"/>
  <c r="P218"/>
  <c r="O218"/>
  <c r="N218"/>
  <c r="M218"/>
  <c r="L218"/>
  <c r="K218"/>
  <c r="J218"/>
  <c r="I218"/>
  <c r="H218"/>
  <c r="P217"/>
  <c r="O217"/>
  <c r="N217"/>
  <c r="M217"/>
  <c r="L217"/>
  <c r="K217"/>
  <c r="J217"/>
  <c r="I217"/>
  <c r="H217"/>
  <c r="M213"/>
  <c r="L213"/>
  <c r="K213"/>
  <c r="J213"/>
  <c r="I213"/>
  <c r="H213"/>
  <c r="M212"/>
  <c r="L212"/>
  <c r="K212"/>
  <c r="J212"/>
  <c r="I212"/>
  <c r="H212"/>
  <c r="K208"/>
  <c r="J208"/>
  <c r="I208"/>
  <c r="H208"/>
  <c r="K206"/>
  <c r="J206"/>
  <c r="I206"/>
  <c r="H206"/>
  <c r="K204"/>
  <c r="J204"/>
  <c r="I204"/>
  <c r="H204"/>
  <c r="K202"/>
  <c r="J202"/>
  <c r="I202"/>
  <c r="H202"/>
  <c r="K201"/>
  <c r="J201"/>
  <c r="I201"/>
  <c r="H201"/>
  <c r="I199"/>
  <c r="H199"/>
  <c r="J197"/>
  <c r="I197"/>
  <c r="H197"/>
  <c r="J196"/>
  <c r="I196"/>
  <c r="H196"/>
  <c r="K193"/>
  <c r="J193"/>
  <c r="I193"/>
  <c r="H193"/>
  <c r="K190"/>
  <c r="J190"/>
  <c r="I190"/>
  <c r="H190"/>
  <c r="K189"/>
  <c r="J189"/>
  <c r="I189"/>
  <c r="H189"/>
  <c r="K187"/>
  <c r="K186"/>
  <c r="J186"/>
  <c r="I186"/>
  <c r="H186"/>
  <c r="J185"/>
  <c r="J360" s="1"/>
  <c r="K184"/>
  <c r="K359" s="1"/>
  <c r="J184"/>
  <c r="J359" s="1"/>
  <c r="K183"/>
  <c r="J183"/>
  <c r="I183"/>
  <c r="H183"/>
  <c r="K182"/>
  <c r="J182"/>
  <c r="I182"/>
  <c r="H182"/>
  <c r="K179"/>
  <c r="J179"/>
  <c r="I179"/>
  <c r="H179"/>
  <c r="K178"/>
  <c r="J178"/>
  <c r="I178"/>
  <c r="H178"/>
  <c r="U177"/>
  <c r="T177"/>
  <c r="S177"/>
  <c r="R177"/>
  <c r="Q177"/>
  <c r="P177"/>
  <c r="O177"/>
  <c r="N177"/>
  <c r="M177"/>
  <c r="L177"/>
  <c r="K177"/>
  <c r="J177"/>
  <c r="I177"/>
  <c r="H177"/>
  <c r="U176"/>
  <c r="T176"/>
  <c r="S176"/>
  <c r="R176"/>
  <c r="Q176"/>
  <c r="P176"/>
  <c r="O176"/>
  <c r="N176"/>
  <c r="M176"/>
  <c r="L176"/>
  <c r="J176"/>
  <c r="I176"/>
  <c r="H176"/>
  <c r="V175"/>
  <c r="U175"/>
  <c r="T175"/>
  <c r="S175"/>
  <c r="R175"/>
  <c r="Q175"/>
  <c r="P175"/>
  <c r="O175"/>
  <c r="N175"/>
  <c r="M175"/>
  <c r="L175"/>
  <c r="J175"/>
  <c r="I175"/>
  <c r="H175"/>
  <c r="U173"/>
  <c r="T173"/>
  <c r="S173"/>
  <c r="R173"/>
  <c r="Q173"/>
  <c r="P173"/>
  <c r="O173"/>
  <c r="N173"/>
  <c r="M173"/>
  <c r="L173"/>
  <c r="K173"/>
  <c r="J173"/>
  <c r="I173"/>
  <c r="U172"/>
  <c r="T172"/>
  <c r="S172"/>
  <c r="R172"/>
  <c r="Q172"/>
  <c r="P172"/>
  <c r="O172"/>
  <c r="N172"/>
  <c r="M172"/>
  <c r="L172"/>
  <c r="K172"/>
  <c r="U171"/>
  <c r="T171"/>
  <c r="S171"/>
  <c r="R171"/>
  <c r="Q171"/>
  <c r="P171"/>
  <c r="O171"/>
  <c r="N171"/>
  <c r="M171"/>
  <c r="L171"/>
  <c r="K171"/>
  <c r="J171"/>
  <c r="I171"/>
  <c r="K167"/>
  <c r="J167"/>
  <c r="I167"/>
  <c r="H167"/>
  <c r="K164"/>
  <c r="J164"/>
  <c r="I164"/>
  <c r="H164"/>
  <c r="K163"/>
  <c r="J163"/>
  <c r="I163"/>
  <c r="H163"/>
  <c r="J160"/>
  <c r="I160"/>
  <c r="H160"/>
  <c r="J157"/>
  <c r="I157"/>
  <c r="H157"/>
  <c r="J156"/>
  <c r="I156"/>
  <c r="H156"/>
  <c r="H154"/>
  <c r="J152"/>
  <c r="I152"/>
  <c r="H152"/>
  <c r="J151"/>
  <c r="I151"/>
  <c r="H151"/>
  <c r="J147"/>
  <c r="I147"/>
  <c r="H147"/>
  <c r="J146"/>
  <c r="I146"/>
  <c r="H146"/>
  <c r="J142"/>
  <c r="I142"/>
  <c r="H142"/>
  <c r="J141"/>
  <c r="I141"/>
  <c r="H141"/>
  <c r="K140"/>
  <c r="K364" s="1"/>
  <c r="J140"/>
  <c r="J364" s="1"/>
  <c r="I140"/>
  <c r="I364" s="1"/>
  <c r="H139"/>
  <c r="H363" s="1"/>
  <c r="K138"/>
  <c r="J138"/>
  <c r="I138"/>
  <c r="H138"/>
  <c r="K136"/>
  <c r="J136"/>
  <c r="I136"/>
  <c r="H136"/>
  <c r="H133"/>
  <c r="K130"/>
  <c r="J130"/>
  <c r="I130"/>
  <c r="H130"/>
  <c r="K129"/>
  <c r="J129"/>
  <c r="I129"/>
  <c r="H129"/>
  <c r="I125"/>
  <c r="H125"/>
  <c r="N123"/>
  <c r="M123"/>
  <c r="L123"/>
  <c r="K123"/>
  <c r="J123"/>
  <c r="H123"/>
  <c r="N122"/>
  <c r="M122"/>
  <c r="L122"/>
  <c r="K122"/>
  <c r="J122"/>
  <c r="I122"/>
  <c r="H122"/>
  <c r="I119"/>
  <c r="H119"/>
  <c r="N117"/>
  <c r="M117"/>
  <c r="L117"/>
  <c r="K117"/>
  <c r="J117"/>
  <c r="I117"/>
  <c r="H117"/>
  <c r="N116"/>
  <c r="M116"/>
  <c r="L116"/>
  <c r="K116"/>
  <c r="J116"/>
  <c r="I116"/>
  <c r="H116"/>
  <c r="P112"/>
  <c r="O112"/>
  <c r="N112"/>
  <c r="M112"/>
  <c r="L112"/>
  <c r="K112"/>
  <c r="J112"/>
  <c r="I112"/>
  <c r="H112"/>
  <c r="P110"/>
  <c r="O110"/>
  <c r="N110"/>
  <c r="M110"/>
  <c r="L110"/>
  <c r="K110"/>
  <c r="J110"/>
  <c r="I110"/>
  <c r="H110"/>
  <c r="P109"/>
  <c r="O109"/>
  <c r="N109"/>
  <c r="M109"/>
  <c r="L109"/>
  <c r="K109"/>
  <c r="J109"/>
  <c r="I109"/>
  <c r="H109"/>
  <c r="K105"/>
  <c r="J105"/>
  <c r="I105"/>
  <c r="H105"/>
  <c r="K103"/>
  <c r="J103"/>
  <c r="I103"/>
  <c r="H103"/>
  <c r="J99"/>
  <c r="I99"/>
  <c r="H99"/>
  <c r="H97" s="1"/>
  <c r="J97"/>
  <c r="I97"/>
  <c r="J94"/>
  <c r="I94"/>
  <c r="H94"/>
  <c r="H92" s="1"/>
  <c r="J92"/>
  <c r="I92"/>
  <c r="K88"/>
  <c r="J88"/>
  <c r="I88"/>
  <c r="H88"/>
  <c r="K86"/>
  <c r="J86"/>
  <c r="I86"/>
  <c r="H86"/>
  <c r="J82"/>
  <c r="I82"/>
  <c r="H82"/>
  <c r="J80"/>
  <c r="I80"/>
  <c r="H80"/>
  <c r="J76"/>
  <c r="I76"/>
  <c r="H76"/>
  <c r="J74"/>
  <c r="I74"/>
  <c r="H74"/>
  <c r="K69"/>
  <c r="J69"/>
  <c r="I69"/>
  <c r="H69"/>
  <c r="K67"/>
  <c r="J67"/>
  <c r="I67"/>
  <c r="H67"/>
  <c r="K66"/>
  <c r="J66"/>
  <c r="I66"/>
  <c r="H66"/>
  <c r="J62"/>
  <c r="I62"/>
  <c r="H62"/>
  <c r="J59"/>
  <c r="I59"/>
  <c r="H59"/>
  <c r="J58"/>
  <c r="I58"/>
  <c r="H58"/>
  <c r="P53"/>
  <c r="O53"/>
  <c r="N53"/>
  <c r="M53"/>
  <c r="L53"/>
  <c r="K53"/>
  <c r="J53"/>
  <c r="I53"/>
  <c r="H53"/>
  <c r="P52"/>
  <c r="P372" s="1"/>
  <c r="O52"/>
  <c r="O372" s="1"/>
  <c r="N52"/>
  <c r="N372" s="1"/>
  <c r="M52"/>
  <c r="M372" s="1"/>
  <c r="L52"/>
  <c r="L372" s="1"/>
  <c r="K52"/>
  <c r="J52"/>
  <c r="I52"/>
  <c r="H52"/>
  <c r="J49"/>
  <c r="I49"/>
  <c r="I47" s="1"/>
  <c r="H49"/>
  <c r="J47"/>
  <c r="H47"/>
  <c r="J44"/>
  <c r="I44"/>
  <c r="I42" s="1"/>
  <c r="H44"/>
  <c r="J42"/>
  <c r="H42"/>
  <c r="J39"/>
  <c r="I39"/>
  <c r="H39"/>
  <c r="V37"/>
  <c r="V372" s="1"/>
  <c r="J37"/>
  <c r="I37"/>
  <c r="H37"/>
  <c r="K34"/>
  <c r="J34"/>
  <c r="I34"/>
  <c r="H34"/>
  <c r="K32"/>
  <c r="J32"/>
  <c r="I32"/>
  <c r="H32"/>
  <c r="K29"/>
  <c r="J29"/>
  <c r="I29"/>
  <c r="H29"/>
  <c r="K27"/>
  <c r="J27"/>
  <c r="I27"/>
  <c r="H27"/>
  <c r="J24"/>
  <c r="I24"/>
  <c r="H24"/>
  <c r="J22"/>
  <c r="I22"/>
  <c r="H22"/>
  <c r="K19"/>
  <c r="J19"/>
  <c r="I19"/>
  <c r="H19"/>
  <c r="K17"/>
  <c r="J17"/>
  <c r="I17"/>
  <c r="H17"/>
  <c r="J14"/>
  <c r="I14"/>
  <c r="H14"/>
  <c r="J12"/>
  <c r="J372" s="1"/>
  <c r="I12"/>
  <c r="I372" s="1"/>
  <c r="H12"/>
  <c r="U11"/>
  <c r="U375" s="1"/>
  <c r="T11"/>
  <c r="T375" s="1"/>
  <c r="S11"/>
  <c r="S375" s="1"/>
  <c r="R11"/>
  <c r="R375" s="1"/>
  <c r="Q11"/>
  <c r="Q375" s="1"/>
  <c r="P11"/>
  <c r="P375" s="1"/>
  <c r="O11"/>
  <c r="O375" s="1"/>
  <c r="N11"/>
  <c r="N375" s="1"/>
  <c r="M11"/>
  <c r="M375" s="1"/>
  <c r="L11"/>
  <c r="L375" s="1"/>
  <c r="K11"/>
  <c r="K375" s="1"/>
  <c r="J11"/>
  <c r="J375" s="1"/>
  <c r="I11"/>
  <c r="I375" s="1"/>
  <c r="H11"/>
  <c r="H375" s="1"/>
  <c r="U10"/>
  <c r="U374" s="1"/>
  <c r="T10"/>
  <c r="T374" s="1"/>
  <c r="S10"/>
  <c r="S374" s="1"/>
  <c r="R10"/>
  <c r="R374" s="1"/>
  <c r="Q10"/>
  <c r="Q374" s="1"/>
  <c r="P10"/>
  <c r="P374" s="1"/>
  <c r="O10"/>
  <c r="O374" s="1"/>
  <c r="N10"/>
  <c r="N374" s="1"/>
  <c r="M10"/>
  <c r="M374" s="1"/>
  <c r="L10"/>
  <c r="L374" s="1"/>
  <c r="K10"/>
  <c r="J10"/>
  <c r="J374" s="1"/>
  <c r="I10"/>
  <c r="I374" s="1"/>
  <c r="H10"/>
  <c r="H374" s="1"/>
  <c r="V9"/>
  <c r="U9"/>
  <c r="T9"/>
  <c r="S9"/>
  <c r="R9"/>
  <c r="Q9"/>
  <c r="P9"/>
  <c r="O9"/>
  <c r="N9"/>
  <c r="M9"/>
  <c r="L9"/>
  <c r="K9"/>
  <c r="J9"/>
  <c r="H9"/>
  <c r="U7"/>
  <c r="T7"/>
  <c r="S7"/>
  <c r="R7"/>
  <c r="Q7"/>
  <c r="P7"/>
  <c r="O7"/>
  <c r="N7"/>
  <c r="M7"/>
  <c r="L7"/>
  <c r="K7"/>
  <c r="J7"/>
  <c r="I7"/>
  <c r="H7"/>
  <c r="U6"/>
  <c r="T6"/>
  <c r="T5" s="1"/>
  <c r="T373" s="1"/>
  <c r="S6"/>
  <c r="R6"/>
  <c r="R5" s="1"/>
  <c r="R373" s="1"/>
  <c r="Q6"/>
  <c r="P6"/>
  <c r="P5" s="1"/>
  <c r="P373" s="1"/>
  <c r="O6"/>
  <c r="N6"/>
  <c r="N5" s="1"/>
  <c r="N373" s="1"/>
  <c r="M6"/>
  <c r="L6"/>
  <c r="L5" s="1"/>
  <c r="L373" s="1"/>
  <c r="J6"/>
  <c r="J5" s="1"/>
  <c r="J373" s="1"/>
  <c r="I6"/>
  <c r="H6"/>
  <c r="H5" s="1"/>
  <c r="H373" s="1"/>
  <c r="V5"/>
  <c r="V373" s="1"/>
  <c r="U5"/>
  <c r="U373" s="1"/>
  <c r="S5"/>
  <c r="S373" s="1"/>
  <c r="Q5"/>
  <c r="Q373" s="1"/>
  <c r="O5"/>
  <c r="O373" s="1"/>
  <c r="M5"/>
  <c r="M373" s="1"/>
  <c r="I5"/>
  <c r="I373" s="1"/>
  <c r="V404" l="1"/>
  <c r="V399" s="1"/>
  <c r="J362"/>
  <c r="J411"/>
  <c r="J355"/>
  <c r="J407"/>
  <c r="J402" s="1"/>
  <c r="H406"/>
  <c r="H401" s="1"/>
  <c r="H357"/>
  <c r="H354"/>
  <c r="H370"/>
  <c r="K400"/>
  <c r="M400"/>
  <c r="Q400"/>
  <c r="S400"/>
  <c r="U400"/>
  <c r="M370"/>
  <c r="O370"/>
  <c r="S370"/>
  <c r="U370"/>
  <c r="J409"/>
  <c r="H410"/>
  <c r="H409" s="1"/>
  <c r="H362"/>
  <c r="H353"/>
  <c r="J406"/>
  <c r="J401" s="1"/>
  <c r="J357"/>
  <c r="J354"/>
  <c r="J370"/>
  <c r="I400"/>
  <c r="O400"/>
  <c r="I411"/>
  <c r="I362"/>
  <c r="K411"/>
  <c r="K409" s="1"/>
  <c r="K362"/>
  <c r="K370"/>
  <c r="K406"/>
  <c r="K357"/>
  <c r="K354"/>
  <c r="K239"/>
  <c r="K372" s="1"/>
  <c r="K176"/>
  <c r="H404"/>
  <c r="H399" s="1"/>
  <c r="H400"/>
  <c r="J404"/>
  <c r="J399" s="1"/>
  <c r="J400"/>
  <c r="L404"/>
  <c r="L399" s="1"/>
  <c r="L400"/>
  <c r="N404"/>
  <c r="N399" s="1"/>
  <c r="N400"/>
  <c r="P404"/>
  <c r="P399" s="1"/>
  <c r="P400"/>
  <c r="R404"/>
  <c r="R399" s="1"/>
  <c r="R400"/>
  <c r="T404"/>
  <c r="T399" s="1"/>
  <c r="T400"/>
  <c r="K374"/>
  <c r="Q370"/>
  <c r="H372"/>
  <c r="L402"/>
  <c r="N402"/>
  <c r="P402"/>
  <c r="R402"/>
  <c r="T402"/>
  <c r="H403"/>
  <c r="J403"/>
  <c r="L403"/>
  <c r="N403"/>
  <c r="P403"/>
  <c r="R403"/>
  <c r="T403"/>
  <c r="I409"/>
  <c r="M409"/>
  <c r="O409"/>
  <c r="Q409"/>
  <c r="S409"/>
  <c r="U409"/>
  <c r="V352"/>
  <c r="I359"/>
  <c r="K360"/>
  <c r="M367"/>
  <c r="O367"/>
  <c r="Q367"/>
  <c r="S367"/>
  <c r="U367"/>
  <c r="L368"/>
  <c r="N368"/>
  <c r="P368"/>
  <c r="R368"/>
  <c r="T368"/>
  <c r="L370"/>
  <c r="N370"/>
  <c r="P370"/>
  <c r="R370"/>
  <c r="T370"/>
  <c r="H377"/>
  <c r="M406"/>
  <c r="M401" s="1"/>
  <c r="O406"/>
  <c r="O401" s="1"/>
  <c r="Q406"/>
  <c r="Q401" s="1"/>
  <c r="S406"/>
  <c r="S401" s="1"/>
  <c r="U406"/>
  <c r="U401" s="1"/>
  <c r="I9"/>
  <c r="O404" l="1"/>
  <c r="O399" s="1"/>
  <c r="S404"/>
  <c r="S399" s="1"/>
  <c r="I370"/>
  <c r="I406"/>
  <c r="I357"/>
  <c r="I354"/>
  <c r="K368"/>
  <c r="K352"/>
  <c r="K367"/>
  <c r="K407"/>
  <c r="K355"/>
  <c r="K6"/>
  <c r="K5" s="1"/>
  <c r="K373" s="1"/>
  <c r="K175"/>
  <c r="J367"/>
  <c r="J368"/>
  <c r="J352"/>
  <c r="H367"/>
  <c r="H368"/>
  <c r="H352"/>
  <c r="U404"/>
  <c r="U399" s="1"/>
  <c r="Q404"/>
  <c r="Q399" s="1"/>
  <c r="M404"/>
  <c r="M399" s="1"/>
  <c r="K401"/>
  <c r="I368" l="1"/>
  <c r="I352"/>
  <c r="I367"/>
  <c r="K402"/>
  <c r="K404"/>
  <c r="K399" s="1"/>
  <c r="I401"/>
  <c r="I404"/>
  <c r="I399" s="1"/>
</calcChain>
</file>

<file path=xl/sharedStrings.xml><?xml version="1.0" encoding="utf-8"?>
<sst xmlns="http://schemas.openxmlformats.org/spreadsheetml/2006/main" count="674" uniqueCount="235">
  <si>
    <t>Załącznik Nr 2 do Uchwały Nr ……/……./                     
Sejmiku Województwa Podkarpackiego
 z dnia…………………………..r.</t>
  </si>
  <si>
    <t>Lp</t>
  </si>
  <si>
    <t>Nazwa przedsięwzięcia</t>
  </si>
  <si>
    <t>Cel przedsięwzięcia</t>
  </si>
  <si>
    <t>Jednostka odpowiedzialna lub koordynująca</t>
  </si>
  <si>
    <t>Okres realizacji</t>
  </si>
  <si>
    <t>Klasyfikacja Dział - Rozdział</t>
  </si>
  <si>
    <t>Łączne nakłady finansowe (ujęte w WPF)</t>
  </si>
  <si>
    <t>limit zobowiązań</t>
  </si>
  <si>
    <t>1) programy, projekty lub zadania (razem)</t>
  </si>
  <si>
    <t xml:space="preserve"> - wydatki bieżące</t>
  </si>
  <si>
    <t xml:space="preserve"> - wydatki majątkowe</t>
  </si>
  <si>
    <t>a) programy, projekty lub zadania związane z programami realizowanymi z udziałem środków, o których mowa w art. 5 ust. 1 pkt 2 i 3, (razem)</t>
  </si>
  <si>
    <t>Budowa zbiornika retencyjnego w miejscowości Borowa Góra, woj. podkarpackie</t>
  </si>
  <si>
    <t xml:space="preserve"> Budowa 1 zbiornika retencyjnego w Borowej Górze. Zabezpieczenie ludności, mienia i gospodarki przed negatywnymi skutkami powodzi i zapewnienie trwałości projektu. 
Program Rozwoju Obszarów Wiejskich</t>
  </si>
  <si>
    <t xml:space="preserve">Podkarpacki Zarząd Melioracji i Urządzeń Wodnych 
</t>
  </si>
  <si>
    <t>2013 - 2014</t>
  </si>
  <si>
    <t>010 - 01008</t>
  </si>
  <si>
    <t xml:space="preserve"> - wydatki majątkowe, z tego</t>
  </si>
  <si>
    <t>Budżet Unii Europejskiej</t>
  </si>
  <si>
    <t>Budżet Państwa</t>
  </si>
  <si>
    <t>"Wisłoka – Boża Wola – rozbudowa lewego wału Wisłoki w km 4+115 -6+737 oraz w km 0+000-0+230 wraz z budową obustronnych wałów cofkowych na potoku Kiełkowskim o długości 150 m". Zadanie ujęte w ramach zlewni: Ochrona przed powodzią w zlewni Wisłoki, w tym budowa zbiorników retencyjnych Kąty-Myscowa oraz Dukla</t>
  </si>
  <si>
    <t xml:space="preserve">Rozbudowa (2,732 km) i budowa obustronnego obwałowania  lewego wału rzeki Wisłoki na dł. 0,42 km. Zabezpieczenie ludności, mienia i gospodarki przed negatywnymi skutkami powodzi i zapewnienie trwałości projektu. Program Rozwoju Obszarów Wiejskich
</t>
  </si>
  <si>
    <t xml:space="preserve">Podkarpaci Zarząd Melioracji i Urządzeń Wodnych </t>
  </si>
  <si>
    <t>2011 - 2015</t>
  </si>
  <si>
    <t xml:space="preserve">010 - 01008    </t>
  </si>
  <si>
    <t>"Odbudowa potoku Lubcza w km 2+640-6+675 na długości 4,035 km oraz udrożnienie koryta potoku Lubcza w rejonie 4 stopni betonowych w km 0+400; 1+280; 7+050; 7+700 w mieście Rzeszów – Zwięczyca II, oraz w miejscowościach: Racławówka, Niechobrz, Boguchwała, gm. Boguchwała, woj. podkarpackie".  Zadanie ujęte w ramach zlewni: Ochrona przed powodzią w zlewni rzeki Wisłok, w tym budowa zbiornika retencyjnego Rudawka Rymanowska i zabezpieczenie przed powodzią miasta Krosno</t>
  </si>
  <si>
    <t>Odbudowa na dł. 4,035 km. i udrożnienie koryta potoku Lubcza w rejonie 4 stopni betonowych. Zabezpieczenie ludności, mienia i gospodarki przed negatywnymi skutkami powodzi i zapewnienie trwałości projektu. Program Rozwoju Obszarów Wiejskich</t>
  </si>
  <si>
    <t>2006 - 2014</t>
  </si>
  <si>
    <t xml:space="preserve"> "Nowy Breń II - rozbudowa i przeciwfiltracyjne zabezpieczenie prawego wału rzeki Nowy Breń w km 2+487-4+319, na długości 1,832 km w miejscowościach: Słupiec, Ziempniów i Otałęż".  
Zadanie ujęte w ramach zlewni: Zabezpieczenie przed zagrożeniem powodziowym doliny Wisły na odcinku od ujścia Dunajca do ujścia Wisłoki</t>
  </si>
  <si>
    <t>Rozbudowa i przeciwfiltracyjne zabezpieczenie prawego wału rzeki Nowy Breń na dł. 1,832 km. Zabezpieczenie ludności, mienia i gospodarki przed negatywnymi skutkami powodzi i zapewnienie trwałości projektu. Program Rozwoju Obszarów Wiejskich</t>
  </si>
  <si>
    <t xml:space="preserve">"San I Etap I - rozbudowa i przeciwfiltracyjne zabezpieczenie prawego wału rzeki San w km 2+215 - 9+417, na długości 7,202 km, na terenie gminy Radomyśl nad Sanem, woj. podkarpackie". Zadanie ujęte w ramach zlewni: Zabezpieczenie przed zagrożeniem powodziowym doliny Wisły na odcinku od ujścia Wisłoki do ujścia Sanny </t>
  </si>
  <si>
    <t>Rozbudowa i przeciwfiltracyjne zabezpieczenie prawego wału rzeki San na dł. 7,202 km. Zabezpieczenie ludności, mienia i gospodarki przed negatywnymi skutkami powodzi i zapewnienie trwałości projektu. Program Rozwoju Obszarów Wiejskich</t>
  </si>
  <si>
    <t>Ochrona przed powodzią aglomeracji Rzeszów</t>
  </si>
  <si>
    <t xml:space="preserve"> Ochrona przeciwpowodziowa aglomeracji Rzeszów Program Operacyjny Infratsruktura i Środowisko 2007 - 2013 </t>
  </si>
  <si>
    <t>2008 - 2014</t>
  </si>
  <si>
    <t>010 - 01008 010 - 01078</t>
  </si>
  <si>
    <t>Zaprojektowanie i budowa lewostronnego obwałowania rzeki Wisłoki w km 53+800-55+600 w miejscowościach: Zawierzbie, Żyraków, na terenie gminy Żyraków, województwo podkarpackie</t>
  </si>
  <si>
    <t xml:space="preserve"> Zapewnienie bezpieczeństwa przeciwpowodziowego na odcinku 53+800-55+600 rzeki Wisłoki w miejscowościach Zawierzbie oraz Żyraków Regionalny Program Operacyjny Województwa Podkarpackiego 2007 – 2013</t>
  </si>
  <si>
    <t xml:space="preserve">Podkarpacki Zarząd Melioracji i Urządzeń Wodnych </t>
  </si>
  <si>
    <t>2010 - 2014</t>
  </si>
  <si>
    <t>010 - 01008    010 - 01078</t>
  </si>
  <si>
    <t>Zaprojektowanie i budowa suchego zbiornika przeciwpowodziowego (polderu przepływowego) pn. "Kańczuga" na rzece Mleczka Kańczudzka na terenie gminy Jawornik Polski oraz miasta i gminy Kańczuga</t>
  </si>
  <si>
    <t xml:space="preserve">Zapewnienie ochrony przeciwpowodziowej miejscowościom położonym poniżej planowanego zbiornika suchego wzdłuż rzeki Mleczki Kańczudzkiej 
a następnie rzeki Mleczki Regionalny Program Operacyjny Województwa Podkarpackiego 2007 – 2013
</t>
  </si>
  <si>
    <t>2009 - 2014</t>
  </si>
  <si>
    <t xml:space="preserve">Centrum Obsługi Inwestorów i Eksporterów w Wojew. Podkarpackim, Program Operacyjny Innowacyjna Gospodarka, Działanie 6.2 Rozwój sieci centrów obsługi inwestorów i eksporterów oraz powstanie nowych terenów inwestycyjnych </t>
  </si>
  <si>
    <t>Utworzenie Centrum Obsługi Inwestorów i Eksporterów w Województwie Podkarpackim</t>
  </si>
  <si>
    <t xml:space="preserve">Urząd Marszałkowski Województwa Podkarpackiego </t>
  </si>
  <si>
    <t>2010 - 2020</t>
  </si>
  <si>
    <t>500 - 50005</t>
  </si>
  <si>
    <t xml:space="preserve"> - wydatki bieżące, z tego</t>
  </si>
  <si>
    <t>Budżet Woj. Podkarpackiego</t>
  </si>
  <si>
    <t>"Zakup pojazdów szynowych na potrzeby kolejowych przewozów osób w województwie podkarpackim", RPO WP na lata 2007-2013, Działanie 2.1 Infrastruktura komunikacyjna Schemat E: Infrastruktura kolejowa</t>
  </si>
  <si>
    <t>Poprawa dostępności i jakości podróżowania</t>
  </si>
  <si>
    <t>2011 - 2014</t>
  </si>
  <si>
    <t>600 - 60001</t>
  </si>
  <si>
    <t>Inne</t>
  </si>
  <si>
    <t>"Zakup taboru kolejowego do obsługi połączeń międzywojewódzkich realizowanych przez województwa: małopolskie, podkarpackie, śląskie, świętokrzyskie", POIiŚ na lata 2007-2013 Działanie 7.1 Rozwój Transportu Kolejowego</t>
  </si>
  <si>
    <t>Rozbudowa dr. woj. Nr 855 Olbięcin - Zaklików - Stalowa Wola odc. Granica Województwa - Stalowa Wola</t>
  </si>
  <si>
    <t xml:space="preserve"> Cele "Infrastruktura techniczna i informatyczna"  Poprawa dostępności i jakości infrastruktury transportowe</t>
  </si>
  <si>
    <t xml:space="preserve">Podkarpacki Zarząd Dróg Wojewódzkich w Rzeszowie </t>
  </si>
  <si>
    <t>600 - 60013</t>
  </si>
  <si>
    <t xml:space="preserve">Rozbudowa dr. woj. Nr  880 Jarosław - Pruchnik </t>
  </si>
  <si>
    <t>Cele "Infrastruktura techniczna i informatyczna"  Poprawa dostępności i jakości infrastruktury transportowej</t>
  </si>
  <si>
    <t>Rozbudowa drogi wojewódzkiej Nr 869 łączącej węzeł A-4 Rzeszów Zachodni z węzłem S-19 Jasionka, połączonej w sposób bezkolizyjny z istniejącymi drogami krajowymi Nr 9 Radom - Barwinek i Nr 19 Kuźnica - Rzeszów i linią kolejową L-71</t>
  </si>
  <si>
    <t>2012 - 2015</t>
  </si>
  <si>
    <t xml:space="preserve">Likwidacja barier rozwojowych - most na Wiśle z rozbudową drogi wojewódzkiej Nr 764 oraz połączeniem z drogą wojewódzką Nr 875 </t>
  </si>
  <si>
    <t>Stworzenie dogodnych powiązań komunikacyjnych województw Polski Wschodniej</t>
  </si>
  <si>
    <t>Budowa drogi obwodowej Mielca w ciągu drogi wojewódzkiej nr 985 Nagnajów - Dębica przebiegającej od miejscowości Tuszów Narodowy w km 20+636 do ulicy Dębickiej w km 38+522 wraz z niezbędną infrastrukturą techniczną, budowlami i urządzeniami budowlanymi</t>
  </si>
  <si>
    <t>2012 - 2014</t>
  </si>
  <si>
    <t>Trasy rowerowe w Polsce Wschodniej</t>
  </si>
  <si>
    <t>Kompleksowy projekt zakładający utworzenie ponadregionalnej trasy rowerowej w pięciu województwach Polski Wschodniej</t>
  </si>
  <si>
    <t>630 - 63095</t>
  </si>
  <si>
    <t xml:space="preserve">Sieć Szerokopasmowa Polski Wschodniej - Województwo Podkarpackie </t>
  </si>
  <si>
    <t>Zbudowanie w województwie podkarpackim nowoczesnej infrastruktury publicznej bazującej na technologiach informatycznych</t>
  </si>
  <si>
    <t>720 - 72095</t>
  </si>
  <si>
    <t xml:space="preserve">PSeAP - Podkarpacki System e-Administracji Publicznej </t>
  </si>
  <si>
    <t>Uruchomienie w skali województwa jednorodnego systemu obiegu dokumentów i zarządzania sprawami oraz zdalnych usług</t>
  </si>
  <si>
    <t>2009 - 2018</t>
  </si>
  <si>
    <t xml:space="preserve">Podkarpacki System Informacji Medycznej” "PSIM" </t>
  </si>
  <si>
    <t>Uruchomienie w skali województwa spójnego systemu wspierającego zarządzanie i funkcjonowanie opieki zdrowotnej w placówkach służby zdrowia</t>
  </si>
  <si>
    <t xml:space="preserve">System Informacji o Funduszach Europejskich- Program Operacyjny Pomoc Techniczna </t>
  </si>
  <si>
    <t>Realizacja zadania polegająca na prowadzeniu Głównego Punktu Informacyjnego przy Urzędzie Marszałkowskim Województwa Podkarpackiego oraz koordynacja, promocja, monitoring, kontrola oraz ocena działalności sieci Lokalnych Punktów Informacyjnych -Program Operacyjny Pomoc Techniczna</t>
  </si>
  <si>
    <t>Urząd Marszałkowski Województwa Podkarpackiego</t>
  </si>
  <si>
    <t>2009 - 2015</t>
  </si>
  <si>
    <t>750 - 75018</t>
  </si>
  <si>
    <t>Budowa Centrum Wystawienniczo - Kongresowego Województwa Podkarpackiego</t>
  </si>
  <si>
    <t>Funkcjonowanie centrum jako ośrodka wspomagającego wdrażanie programów i projektów służących wzrostowi konkurencyjności i atrakcyjności regionów Polski Wschodniej</t>
  </si>
  <si>
    <t>750 - 75095</t>
  </si>
  <si>
    <t>Projekt 1031 R4 TOURAGE</t>
  </si>
  <si>
    <t>Wzmocnienie regionalnych gospodarek poprzez rozwój turystyki seniorów oraz wsparcie dla rozwiązań umożliwiających aktywne i zdrowe starzenie się, poprzez wymianę dobrych praktyk i doświadczeń pomiędzy regionami partnerskimi</t>
  </si>
  <si>
    <t>Projekt 1130 R4 MOG</t>
  </si>
  <si>
    <t>Stworzenie dokumentu "przewodnika" odnoszącego się do problematyki zrównoważonego transportu na obszarach wiejskich</t>
  </si>
  <si>
    <t>Projekt pn. Edukacja skuteczna, przyjazna, nowoczesna - rozwój kompetencji kadry zarządzającej i pedagogicznej szkół i placówek oświatowych w województwie podkarpackim realizowanym w ramach Programu Operacyjnego Kapitał Ludzki, Priorytet IX Rozwój wykształcenia i kompetencji w regionach, działanie 9.4 Wysoko wykwalifikowane kadry systemu oświaty</t>
  </si>
  <si>
    <t>Dostosowanie kompetencji i kwalifikacji nauczycieli i kadry zarządzającej województwa podkarpackiego do wymagań nowej podstawy programowej przez przeszkolenie 5000 nauczycieli (w tym kadry zarządzającej)</t>
  </si>
  <si>
    <t xml:space="preserve">Podkarpackie Centrum Edukacji Nauczycieli w Rzeszowie </t>
  </si>
  <si>
    <t>801 - 80146</t>
  </si>
  <si>
    <t>"Podkarpacie stawia na zawodowców" - Projekt systemowy</t>
  </si>
  <si>
    <t>Wzmocnienie atrakcyjności i podniesienie jakości oferty edukacyjnej szkół i placówek oświatowych prowadzących kształcenie zawodowe (z wyłączeniem kształcenia osób dorosłych), służące podniesieniu zdolności uczniów do przyszłego zatrudnienia</t>
  </si>
  <si>
    <t>Wojewódzki Urząd Pracy w Rzeszowie</t>
  </si>
  <si>
    <t>801 - 80195</t>
  </si>
  <si>
    <t xml:space="preserve">Szwajcarsko Polski Program Współpracy </t>
  </si>
  <si>
    <t>Zmniejszenie różnic społeczno - gospodarczych istniejących pomiędzy Polską a wyżej rozwiniętymi państwami UE oraz różnic na terytorium Polski pomiędzy ośrodkami miejskimi a regionami słabo rozwiniętymi pod względem strukturalnym</t>
  </si>
  <si>
    <t>Regionalny Ośrodek Polityki Społecznej w Rzeszowie, ul. Hetmańska 120</t>
  </si>
  <si>
    <t>852 - 85295</t>
  </si>
  <si>
    <t>b) programy, projekty lub zadania związane z umowami partnerstwa publiczno - prywatnego; (razem)</t>
  </si>
  <si>
    <t>c) programy, projekty lub zadania pozostałe (inne niż wymienione w lit. a i b) (razem)</t>
  </si>
  <si>
    <t>Utrzymanie urządzeń  melioracji wodnych podstawowych - rzek Szuwarka - Gołębiówka i Świerkowiec</t>
  </si>
  <si>
    <t>Zabezpieczenie ludności, mienia i gospodarki przed negatywnymi skutkami powodzi i zapewnienie trwałości projektu</t>
  </si>
  <si>
    <t>Podkarpacki Zarząd Melioracji i Urządzeń Wodnych w Rzeszowie</t>
  </si>
  <si>
    <t xml:space="preserve">Pomoc techniczna realizowana w ramach Programu Rozwoju Obszarów Wiejskich  na lata 2007 - 2013. </t>
  </si>
  <si>
    <t>Departament Programów Rozwoju Obszarów Wiejskich realizuje zadania własne w ramach trzech schematów Pomocy technicznej PROW 2007 - 2013.  Celem realizacji PT jest wsparcie systemu zarządzania, promowania i informowania o PROW. Zabezpieczenie środków na ten cel jest warunkiem niezbędnym do realizacji przez Departament PROW niezbędnych działań związanych z wdrażaniem PROW 2007-2013. Zadania Departamentu w tym zakresie są wynikiem realizacji obowiązków Samorządu Województwa Podkarpackiego zapisanych w ustawie z dnia 7 marca 2007 roku o wspieraniu rozwoju obszarów wiejskich (Dz.U. nr 64 poz 427 z późn. zm.) oraz wynikają z umowy nr 11/BZD-UM09/2009 zawartej w dniu 29 stycznia 2009r. pomierzy SW i ARiMR.</t>
  </si>
  <si>
    <t>2010 - 2015</t>
  </si>
  <si>
    <t>010 - 01041</t>
  </si>
  <si>
    <t xml:space="preserve">Pomoc techniczna realizowana w ramach Programu Operacyjnego „Zrównoważony rozwój sektora rybołówstwa i nadbrzeżnych obszarów rybackich 2007-2013" </t>
  </si>
  <si>
    <t>Oddział wdrażania PO RYBY 2007-2013 Departamentu Programów Rozwoju Obszarów Wiejskich realizuje zadania własne w ramach trzech schematów Pomocy technicznej PO RYBY 2007 - 2013.  Celem realizacji PT jest wsparcie systemu zarządzania, promowania i informowania o PO RYBY 2007 - 2013. Zabezpieczenie środków na ten cel jest warunkiem niezbędnym do realizacji przez Oddział  PO RYBY  niezbędnych działań związanych z wdrażaniem PO RYBY 2007 - 2013. Zadania Oddziału w tym zakresie są wynikiem realizacji obowiązków Samorządu Województwa Podkarpackiego zapisanych w Rozporządzeniu Ministra Rolnictwa i Rozwoju Wsi z dn. 29 września 2009r  w sprzwie warunków i sposobu wykonywania zadań instytucji zarządzającej przez samorząd województwa</t>
  </si>
  <si>
    <t>050 - 05011</t>
  </si>
  <si>
    <t>Program Operacyjny Kapitał Ludzki, Priorytety VI-IX (z wyłączeniem projektu własnego WUP w ramach Poddziałania 8.1.4 PO KL oraz działania 9.2 PO KL)</t>
  </si>
  <si>
    <t>Program Operacyjny Kapitał Ludzki, Priorytety VI-IX - dotacje dla beneficjentów programu</t>
  </si>
  <si>
    <t xml:space="preserve">Wojewódzki Urząd Pracy </t>
  </si>
  <si>
    <t xml:space="preserve">150 - 15011     150 - 15013             801 - 80146     801 - 80195            852 - 85218     852 - 85219       852 - 85295       853 - 85395  854 -85415      854 -85495     </t>
  </si>
  <si>
    <r>
      <t>RPO WP na lata 2007-2013 - Oś I ÷</t>
    </r>
    <r>
      <rPr>
        <sz val="10.45"/>
        <rFont val="Calibri"/>
        <family val="2"/>
        <charset val="238"/>
        <scheme val="minor"/>
      </rPr>
      <t xml:space="preserve"> VII</t>
    </r>
  </si>
  <si>
    <t>RPO WP na lata 2007-2013 - Oś I ÷ VII  - dotacje dla beneficjentów programu</t>
  </si>
  <si>
    <t>150 - 15011  400 - 40001  400 - 40003  400 - 40095
720 - 72095 750 - 75095    851 - 85115
803 - 80306 921 - 92120 921 - 92195
926 - 92695</t>
  </si>
  <si>
    <t xml:space="preserve">Zakup pojazdów szynowych </t>
  </si>
  <si>
    <t>Zakup pojazdów szynowych na potrzeby kolejowych przewozów pasażerskich - poprawa dostępności i jakości podróżowania</t>
  </si>
  <si>
    <t xml:space="preserve">Utrzymanie zespołów trakcyjnych </t>
  </si>
  <si>
    <t>2013 - 2017</t>
  </si>
  <si>
    <t xml:space="preserve">Utrzymanie zespołów trakcyjnych POliŚ </t>
  </si>
  <si>
    <t>2015 - 2020</t>
  </si>
  <si>
    <t xml:space="preserve">Przygotowanie i realizacja budowy  północnej obwodnicy miasta Sokołowa Małopolskiego, celem dodatkowego skomunikowania z drogą wojewódzką Nr 875 Mielec – Kolbuszowa – Sokołów Małopolski – Leżajsk </t>
  </si>
  <si>
    <t>2012 - 2018</t>
  </si>
  <si>
    <t>Inne źródła</t>
  </si>
  <si>
    <t>Zimowe utrzymanie dróg Zimowe utrzymanie dróg</t>
  </si>
  <si>
    <t>Opracowanie dokumentacji projektowych i uzyskanie decyzji o zezwoleniu na realizację inwestycji drogowych</t>
  </si>
  <si>
    <t>Poprawa powiązań komunikacyjnych i systemu komunikacji publicznej w województwie</t>
  </si>
  <si>
    <t>Tworzenie opracowań kartograficznych na podstawie bazy danych obiektów topograficznych (BDOT10k) z terenu województwa podkarpackiego</t>
  </si>
  <si>
    <t>Mapy topograficzne dla obszaru województwa podkarpackiego</t>
  </si>
  <si>
    <t xml:space="preserve">Wojewódzki Ośrodek Dokumentacji Geodezyjnej i Kartograficznej w Rzeszowie </t>
  </si>
  <si>
    <t>2012- 2015</t>
  </si>
  <si>
    <t>710 - 71013</t>
  </si>
  <si>
    <t xml:space="preserve">Projekty pomocy technicznej - RPO WP </t>
  </si>
  <si>
    <t>Zapewnienie prawidłowej obsługi wdrażania RPO WP</t>
  </si>
  <si>
    <t xml:space="preserve">Promocja Województwa Podkarpackiego przy wykorzystaniu działalności przewoźników lotniczych, jako platformy nowoczesnego systemu  przekazywania informacji o regionie </t>
  </si>
  <si>
    <t xml:space="preserve">Promocja Województwa Podkarpackiego </t>
  </si>
  <si>
    <t>750 - 75075</t>
  </si>
  <si>
    <t>Promocja gospodarcza i turystyczna Województwa Podkarpackiego za pośrednictwem przewoźnika lotniczego w Europie</t>
  </si>
  <si>
    <t>2012 - 2017</t>
  </si>
  <si>
    <t xml:space="preserve">Pogram wspierania edukacji uzdolnionej młodzieży "Nie zagubić talentu" - stypendia. </t>
  </si>
  <si>
    <t>Wspieranie edukacji młodzieży z województwa podkarpackiego</t>
  </si>
  <si>
    <t>2008 - 2025</t>
  </si>
  <si>
    <t xml:space="preserve">Wojewódzki Program Pomocy Społecznej </t>
  </si>
  <si>
    <t>Łagodzenie skutków ubóstwa</t>
  </si>
  <si>
    <t>852 - 85217</t>
  </si>
  <si>
    <t xml:space="preserve">Wojewódzki Program Na Rzecz Wyrównywania Szans Os. Niepełn. i Przeciwdz. Ich Wykluczeniu Społ. Na lata 2008-2020 </t>
  </si>
  <si>
    <t>Wyrównywanie szans osób niepełnosprawnych</t>
  </si>
  <si>
    <t>2011 - 2020</t>
  </si>
  <si>
    <t>853 - 85311</t>
  </si>
  <si>
    <t xml:space="preserve">Program Operacyjny Kapitał Ludzki - Pomoc Techniczna </t>
  </si>
  <si>
    <t>Zapewnienie prawidłowej obsługi wdrażania POKL</t>
  </si>
  <si>
    <t>853 - 85332</t>
  </si>
  <si>
    <t xml:space="preserve">Muzeum Polaków ratujących Żydów na Podkarpaciu im. Rodziny Ulmów w Markowej </t>
  </si>
  <si>
    <t>Muzeum Polaków ratujących Żydów na Podkarpaciu im. Rodziny Ulmów w Markowej</t>
  </si>
  <si>
    <t xml:space="preserve">Muzeum-Zamek w Łańcucie </t>
  </si>
  <si>
    <t>921 - 92118</t>
  </si>
  <si>
    <t>2) umowy, których realizacja w roku budżetowym i w latach następnych jest niezbędna dla zapewnienia ciągłości działania jednostki i których płatności przypadają w okresie dłuższym niż rok;</t>
  </si>
  <si>
    <t>Dostawy i usługi na rzecz Urzędu Marszałkowskiego Województwa Podkarpackiego</t>
  </si>
  <si>
    <t xml:space="preserve">Zabezpieczenie środków dla zapewnienia ciągłości działania jednostki </t>
  </si>
  <si>
    <t>Dostawy i usługi na rzecz  Podkarpackiego Zarządu Melioracji i Urządzeń Wodnych w Rzeszowie</t>
  </si>
  <si>
    <t>010 - 01006 010 - 01008</t>
  </si>
  <si>
    <t>Dostawy i usługi na rzecz Podkarpackiego Biura Planowania Przestrzennego  w Rzeszowie</t>
  </si>
  <si>
    <t>Podkarpackie Biuro Planowania Przestrzennego w Rzeszowie</t>
  </si>
  <si>
    <t>710 - 71003</t>
  </si>
  <si>
    <t>Dostawy i usługi na rzecz Wojewódzkiego Ośrodka Dokumentacji Geodezyjnej i Kartograficznej w Rzeszowie</t>
  </si>
  <si>
    <t>Wojewódzki Ośrodek Dokumentacji Geodezyjnej i Kartograficznej w Rzeszowie</t>
  </si>
  <si>
    <t>710 - 71012</t>
  </si>
  <si>
    <t xml:space="preserve">Dostawy i usługi na rzecz Medycznej Szkoły Policealnej im.Anny Jenke w Sanoku </t>
  </si>
  <si>
    <t>Medyczna Szkoła Policealna im.Anny Jenke w Sanoku</t>
  </si>
  <si>
    <t>2012-2014</t>
  </si>
  <si>
    <t>801-80130</t>
  </si>
  <si>
    <t xml:space="preserve">Dostawy i usługi na rzecz Medycznej Szkoły Policealnej  w Mielcu </t>
  </si>
  <si>
    <t>Medyczna Szkoła Policealna w Mielcu</t>
  </si>
  <si>
    <t xml:space="preserve">Dostawy i usługi na rzecz Kolegium Nauczycielskiego im.A.Fredry w Przemyślu </t>
  </si>
  <si>
    <t xml:space="preserve">Kolegium Nauczycielskie im.A.Fredry 
w Przemyślu </t>
  </si>
  <si>
    <t>801-80141</t>
  </si>
  <si>
    <t xml:space="preserve">Dostawy i usługi na rzecz Nauczycielskiego Kolegium Języków Obcych 
 w Przemyślu </t>
  </si>
  <si>
    <t xml:space="preserve">Nauczycielskie Kolegium Języków Obcych 
 w Przemyślu </t>
  </si>
  <si>
    <t xml:space="preserve">Dostawy i usługi na rzecz Nauczycielskiego Kolegium Języków Obcych 
 w Rzeszowie </t>
  </si>
  <si>
    <t xml:space="preserve"> Nauczycielskie Kolegium Języków Obcych 
 w Rzeszowie </t>
  </si>
  <si>
    <t>2012-2015</t>
  </si>
  <si>
    <t xml:space="preserve">Dostawy i usługi na rzecz Podkarpackiego Centrum Edukacji Nauczycieli  w Rzeszowie </t>
  </si>
  <si>
    <t>Podkarpackie Centrum Edukacji Nauczycieli  
w Rzeszowie</t>
  </si>
  <si>
    <t>801-80146</t>
  </si>
  <si>
    <t xml:space="preserve">Dostawy i usługi na rzecz Pedagogicznej Biblioteki Wojewódzkiej w Krośnie  </t>
  </si>
  <si>
    <t xml:space="preserve">Pedagogiczna Biblioteka Wojewódzka
w Krośnie </t>
  </si>
  <si>
    <t>801-80147</t>
  </si>
  <si>
    <t xml:space="preserve">Dostawy i usługi na rzecz Pedagogicznej Biblioteki Wojewódzkiej im.J.G.Pawlikowskiego w Przemyślu </t>
  </si>
  <si>
    <t xml:space="preserve">Pedagogiczna Biblioteka Wojewódzka im.J.G.Pawlikowskiego w Przemyślu </t>
  </si>
  <si>
    <t>Dostawy i usługi na rzecz Wojewódzkiego Urzędu Pracy w Rzeszowie</t>
  </si>
  <si>
    <t>3) gwarancje i poręczenia udzielane przez jednostki samorządu terytorialnego (razem)</t>
  </si>
  <si>
    <t xml:space="preserve">Poręczenie kredytu długoterminowego zaciągniętego przez  Wojewódzki Szpital Podkarpacki im.  Jana Pawła II w Krośnie  w Dexia Kommunalkredit Bank S.A. z siedzibą w Warszawie. zgodnie z Uchwałą Nr XII/191/07 Sejmiku Województwa Podkarpackiego z dnia 1 października 2007 r. </t>
  </si>
  <si>
    <t xml:space="preserve">Poręczenie kredytu długoterminowego w kwocie 25.000.000 zł (36.773.446 zł) </t>
  </si>
  <si>
    <t>Wojewódzki Szpital Podkarpacki im. Jana Pawła II w Krośnie</t>
  </si>
  <si>
    <t>2007 - 2022</t>
  </si>
  <si>
    <t>757 - 75704</t>
  </si>
  <si>
    <t xml:space="preserve">Poręczenie kredytu długoterminowego zaciągniętego przez Szpital  Wojewódzki Nr 2 im. Św. Jadwigi Królowej w Rzeszowie w Dexia Kommunalkredit Bank S.A. z siedzibą w Warszawie zgodnie z Uchwałą Nr 101/1681/08 Zarządu Województwa Podkarpackiego z dnia 19 marca 2008 r. </t>
  </si>
  <si>
    <t>Poręczenie kredytu długoterminowego w kwocie 8.000.000 zł (9.755.170 zł z odsetkami).</t>
  </si>
  <si>
    <t xml:space="preserve">Szpital  Wojewódzki Nr 2 im. Św. Jadwigi Królowej w Rzeszowie </t>
  </si>
  <si>
    <t xml:space="preserve">Poręczenie kredytu długoterminowego zaciągniętego przez Wojewódzki Szpital im. Św. Ojca Pio w Przemyślu  w Nordea Bank Polska S.A. z siedzibą w Gdyni zgodnie z Uchwałą Nr 105/1822/08 Zarządu Województwa Podkarpackiego z dnia 16 kwietnia 2008 r. </t>
  </si>
  <si>
    <t xml:space="preserve">Poręczenie kredytu długoterminowego w kwocie 25.000.000 zł (35.924.535 zł z odsetkami) </t>
  </si>
  <si>
    <t>Wojewódzki Szpital im. Św. Ojca Pio w Przemyślu</t>
  </si>
  <si>
    <t>2008 - 2023</t>
  </si>
  <si>
    <t xml:space="preserve">Poręczenie kredytu długoterminowego zaciągniętego przez Szpital  Wojewódzki Nr 2 im. Św. Jadwigi Królowej w Rzeszowie w Bank Polska Kasa Opieki S.A. z siedzibą w Warszawie zgodnie z Uchwałą Nr 309/6323/10 Zarządu Województwa Podkarpackiego z dnia 31 sierpnia 2010 r. </t>
  </si>
  <si>
    <t>Poręczenie kredytu długoterminowego w kwocie 12.000.000 zł (14.543.603 zł z odsetkami).</t>
  </si>
  <si>
    <t>2010 - 2016</t>
  </si>
  <si>
    <t>Poręczenie kredytu długoterminowego wraz z odsetkami zaciągniętego przez Wojewódzki Szpital im. Zofii z Zamoyskich Tarnowskiej w Tarnobrzegu  w Nordea Bank Polska S.A. z siedzibą w Gdyni zgodnie z Uchwałą Nr 68/1532/11 Zarządu Województwa Podkarpackiego z dnia 17 sierpnia 2011 r.</t>
  </si>
  <si>
    <t>Poręczenie kredytu długoterminowego w kwocie 2.000.000 zł (2.258.075 zł z odsetkami).</t>
  </si>
  <si>
    <t>Wojewódzki Szpital im. Zofii z Zamoyskich Tarnowskiej w Tarnobrzegu</t>
  </si>
  <si>
    <t xml:space="preserve">Poręczenie kredytu długoterminowego wraz z odsetkami zaciągniętego przez Podkarpacką Agencję Energetyczną Sp. z o.o w Rzeszowie </t>
  </si>
  <si>
    <t>Poręczenie kredytu długoterminowego w kwocie 330.000 zł (396.855 zł z odsetkami).</t>
  </si>
  <si>
    <t>Podkarpacka Agencja Energetyczna Sp. z o.o. w Rzeszowie</t>
  </si>
  <si>
    <t>Przedsięwzięcia ogółem</t>
  </si>
  <si>
    <t xml:space="preserve"> </t>
  </si>
  <si>
    <t>1b</t>
  </si>
  <si>
    <t>b-gw</t>
  </si>
  <si>
    <t>gw</t>
  </si>
  <si>
    <t>wb-gw</t>
  </si>
  <si>
    <t>prz ogółem</t>
  </si>
  <si>
    <t>prz ogołem</t>
  </si>
  <si>
    <t>b</t>
  </si>
  <si>
    <t>m</t>
  </si>
  <si>
    <t>umowy śr własne</t>
  </si>
  <si>
    <t>umowy BP</t>
  </si>
  <si>
    <t>kończące się w 2013r</t>
  </si>
  <si>
    <t>róznica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</si>
</sst>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45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12" fillId="0" borderId="0"/>
    <xf numFmtId="0" fontId="13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11" xfId="0" applyFont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6" fillId="0" borderId="11" xfId="0" applyNumberFormat="1" applyFont="1" applyBorder="1"/>
    <xf numFmtId="0" fontId="4" fillId="3" borderId="12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3" fontId="6" fillId="3" borderId="11" xfId="0" applyNumberFormat="1" applyFont="1" applyFill="1" applyBorder="1"/>
    <xf numFmtId="3" fontId="6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12" xfId="0" applyFont="1" applyFill="1" applyBorder="1" applyAlignment="1">
      <alignment wrapText="1"/>
    </xf>
    <xf numFmtId="0" fontId="6" fillId="3" borderId="15" xfId="0" applyFont="1" applyFill="1" applyBorder="1" applyAlignment="1">
      <alignment wrapText="1"/>
    </xf>
    <xf numFmtId="0" fontId="6" fillId="3" borderId="13" xfId="0" applyFont="1" applyFill="1" applyBorder="1" applyAlignment="1">
      <alignment wrapText="1"/>
    </xf>
    <xf numFmtId="0" fontId="6" fillId="3" borderId="11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3" fontId="6" fillId="2" borderId="11" xfId="0" applyNumberFormat="1" applyFont="1" applyFill="1" applyBorder="1"/>
    <xf numFmtId="0" fontId="0" fillId="2" borderId="0" xfId="0" applyFill="1"/>
    <xf numFmtId="0" fontId="4" fillId="4" borderId="12" xfId="0" applyFont="1" applyFill="1" applyBorder="1" applyAlignment="1">
      <alignment horizontal="left" wrapText="1"/>
    </xf>
    <xf numFmtId="0" fontId="4" fillId="4" borderId="15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left" wrapText="1"/>
    </xf>
    <xf numFmtId="3" fontId="6" fillId="4" borderId="11" xfId="0" applyNumberFormat="1" applyFont="1" applyFill="1" applyBorder="1"/>
    <xf numFmtId="3" fontId="6" fillId="4" borderId="11" xfId="0" applyNumberFormat="1" applyFont="1" applyFill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0" fontId="6" fillId="4" borderId="12" xfId="0" applyFont="1" applyFill="1" applyBorder="1" applyAlignment="1">
      <alignment wrapText="1"/>
    </xf>
    <xf numFmtId="0" fontId="6" fillId="4" borderId="15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0" fontId="6" fillId="4" borderId="11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2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/>
    <xf numFmtId="0" fontId="6" fillId="0" borderId="12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vertical="center"/>
    </xf>
    <xf numFmtId="3" fontId="6" fillId="0" borderId="13" xfId="0" applyNumberFormat="1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/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12" xfId="0" applyFont="1" applyBorder="1" applyAlignment="1"/>
    <xf numFmtId="0" fontId="7" fillId="0" borderId="15" xfId="0" applyFont="1" applyBorder="1" applyAlignment="1">
      <alignment wrapText="1"/>
    </xf>
    <xf numFmtId="0" fontId="7" fillId="0" borderId="13" xfId="0" applyFont="1" applyBorder="1" applyAlignment="1">
      <alignment wrapText="1"/>
    </xf>
    <xf numFmtId="3" fontId="0" fillId="0" borderId="11" xfId="0" applyNumberFormat="1" applyBorder="1"/>
    <xf numFmtId="3" fontId="0" fillId="2" borderId="11" xfId="0" applyNumberFormat="1" applyFill="1" applyBorder="1"/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3" fontId="0" fillId="0" borderId="11" xfId="0" applyNumberFormat="1" applyFill="1" applyBorder="1"/>
    <xf numFmtId="0" fontId="7" fillId="0" borderId="15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0" fontId="6" fillId="0" borderId="13" xfId="0" applyFont="1" applyFill="1" applyBorder="1" applyAlignment="1">
      <alignment wrapText="1"/>
    </xf>
    <xf numFmtId="0" fontId="6" fillId="0" borderId="11" xfId="0" applyFont="1" applyBorder="1" applyAlignment="1">
      <alignment horizontal="center"/>
    </xf>
    <xf numFmtId="3" fontId="0" fillId="4" borderId="11" xfId="0" applyNumberFormat="1" applyFill="1" applyBorder="1"/>
    <xf numFmtId="49" fontId="6" fillId="0" borderId="16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wrapText="1"/>
    </xf>
    <xf numFmtId="49" fontId="6" fillId="0" borderId="1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/>
    <xf numFmtId="0" fontId="0" fillId="0" borderId="12" xfId="0" applyFill="1" applyBorder="1" applyAlignment="1"/>
    <xf numFmtId="3" fontId="3" fillId="0" borderId="16" xfId="1" applyNumberFormat="1" applyFont="1" applyFill="1" applyBorder="1" applyAlignment="1">
      <alignment vertical="center"/>
    </xf>
    <xf numFmtId="3" fontId="3" fillId="0" borderId="14" xfId="1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3" fontId="3" fillId="0" borderId="11" xfId="1" applyNumberFormat="1" applyFont="1" applyBorder="1" applyAlignment="1">
      <alignment vertical="center"/>
    </xf>
    <xf numFmtId="0" fontId="6" fillId="0" borderId="17" xfId="0" applyFont="1" applyFill="1" applyBorder="1" applyAlignment="1">
      <alignment wrapText="1"/>
    </xf>
    <xf numFmtId="0" fontId="6" fillId="0" borderId="12" xfId="0" applyFont="1" applyFill="1" applyBorder="1"/>
    <xf numFmtId="0" fontId="6" fillId="0" borderId="22" xfId="0" applyFont="1" applyFill="1" applyBorder="1" applyAlignment="1">
      <alignment wrapText="1"/>
    </xf>
    <xf numFmtId="3" fontId="0" fillId="0" borderId="11" xfId="0" applyNumberFormat="1" applyBorder="1" applyAlignment="1">
      <alignment horizontal="center" vertical="center" wrapText="1"/>
    </xf>
    <xf numFmtId="0" fontId="6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0" fillId="0" borderId="11" xfId="0" applyNumberFormat="1" applyFont="1" applyBorder="1"/>
    <xf numFmtId="0" fontId="0" fillId="0" borderId="0" xfId="0" applyFont="1"/>
    <xf numFmtId="3" fontId="6" fillId="0" borderId="11" xfId="0" applyNumberFormat="1" applyFont="1" applyFill="1" applyBorder="1" applyAlignment="1">
      <alignment horizontal="right" vertical="center" wrapText="1"/>
    </xf>
    <xf numFmtId="3" fontId="0" fillId="0" borderId="11" xfId="0" applyNumberFormat="1" applyFont="1" applyFill="1" applyBorder="1"/>
    <xf numFmtId="0" fontId="0" fillId="0" borderId="0" xfId="0" applyFont="1" applyFill="1"/>
    <xf numFmtId="3" fontId="4" fillId="3" borderId="11" xfId="0" applyNumberFormat="1" applyFont="1" applyFill="1" applyBorder="1" applyAlignment="1">
      <alignment horizontal="center" vertical="center"/>
    </xf>
    <xf numFmtId="3" fontId="0" fillId="3" borderId="0" xfId="0" applyNumberFormat="1" applyFill="1"/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11" xfId="0" applyFill="1" applyBorder="1"/>
    <xf numFmtId="0" fontId="0" fillId="2" borderId="11" xfId="0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4" fillId="5" borderId="24" xfId="0" applyFont="1" applyFill="1" applyBorder="1" applyAlignment="1">
      <alignment wrapText="1"/>
    </xf>
    <xf numFmtId="0" fontId="4" fillId="5" borderId="23" xfId="0" applyFont="1" applyFill="1" applyBorder="1" applyAlignment="1">
      <alignment wrapText="1"/>
    </xf>
    <xf numFmtId="0" fontId="6" fillId="5" borderId="14" xfId="0" applyFont="1" applyFill="1" applyBorder="1"/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3" fontId="6" fillId="5" borderId="14" xfId="0" applyNumberFormat="1" applyFont="1" applyFill="1" applyBorder="1"/>
    <xf numFmtId="0" fontId="0" fillId="5" borderId="0" xfId="0" applyFill="1"/>
    <xf numFmtId="0" fontId="6" fillId="5" borderId="12" xfId="0" applyFont="1" applyFill="1" applyBorder="1" applyAlignment="1"/>
    <xf numFmtId="0" fontId="7" fillId="5" borderId="15" xfId="0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6" fillId="5" borderId="13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2" fillId="6" borderId="0" xfId="0" applyFont="1" applyFill="1"/>
    <xf numFmtId="3" fontId="6" fillId="0" borderId="0" xfId="0" applyNumberFormat="1" applyFont="1"/>
    <xf numFmtId="0" fontId="10" fillId="6" borderId="0" xfId="0" applyFont="1" applyFill="1"/>
    <xf numFmtId="0" fontId="0" fillId="0" borderId="0" xfId="0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Font="1" applyFill="1" applyBorder="1" applyAlignment="1">
      <alignment wrapText="1"/>
    </xf>
  </cellXfs>
  <cellStyles count="11">
    <cellStyle name="Dziesiętny" xfId="1" builtinId="3"/>
    <cellStyle name="Normalny" xfId="0" builtinId="0"/>
    <cellStyle name="Normalny 2" xfId="2"/>
    <cellStyle name="Normalny 2 2" xfId="3"/>
    <cellStyle name="Normalny 2 2 2" xfId="4"/>
    <cellStyle name="Normalny 2 2 3" xfId="5"/>
    <cellStyle name="Normalny 2 3" xfId="6"/>
    <cellStyle name="Normalny 3" xfId="7"/>
    <cellStyle name="Normalny 3 2" xfId="8"/>
    <cellStyle name="Normalny 3 2 2" xfId="9"/>
    <cellStyle name="Normalny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3"/>
  <sheetViews>
    <sheetView tabSelected="1" view="pageBreakPreview" zoomScaleNormal="100" zoomScaleSheetLayoutView="100" workbookViewId="0">
      <pane ySplit="3" topLeftCell="A246" activePane="bottomLeft" state="frozen"/>
      <selection pane="bottomLeft" activeCell="C418" sqref="C418"/>
    </sheetView>
  </sheetViews>
  <sheetFormatPr defaultRowHeight="14.25"/>
  <cols>
    <col min="1" max="1" width="3.25" bestFit="1" customWidth="1"/>
    <col min="2" max="2" width="27.125" style="1" customWidth="1"/>
    <col min="3" max="3" width="24.75" style="1" customWidth="1"/>
    <col min="4" max="4" width="17.25" customWidth="1"/>
    <col min="5" max="5" width="3.75" customWidth="1"/>
    <col min="6" max="6" width="3.875" customWidth="1"/>
    <col min="7" max="7" width="10.5" customWidth="1"/>
    <col min="8" max="8" width="13.25" customWidth="1"/>
    <col min="9" max="9" width="12.625" bestFit="1" customWidth="1"/>
    <col min="10" max="10" width="11.75" bestFit="1" customWidth="1"/>
    <col min="11" max="11" width="12" bestFit="1" customWidth="1"/>
    <col min="12" max="12" width="10.875" bestFit="1" customWidth="1"/>
    <col min="13" max="13" width="10.5" customWidth="1"/>
    <col min="14" max="14" width="10.875" bestFit="1" customWidth="1"/>
    <col min="15" max="15" width="10.5" customWidth="1"/>
    <col min="16" max="16" width="9.625" customWidth="1"/>
    <col min="17" max="17" width="10.875" customWidth="1"/>
    <col min="18" max="18" width="9.625" customWidth="1"/>
    <col min="19" max="20" width="8.375" customWidth="1"/>
    <col min="21" max="21" width="8.125" customWidth="1"/>
    <col min="22" max="22" width="11.25" customWidth="1"/>
    <col min="23" max="23" width="12.625" bestFit="1" customWidth="1"/>
    <col min="24" max="24" width="11.125" bestFit="1" customWidth="1"/>
  </cols>
  <sheetData>
    <row r="1" spans="1:24" ht="65.25" customHeight="1" thickBot="1">
      <c r="O1" s="2"/>
      <c r="P1" s="3" t="s">
        <v>0</v>
      </c>
      <c r="Q1" s="3"/>
      <c r="R1" s="3"/>
      <c r="S1" s="3"/>
      <c r="T1" s="3"/>
      <c r="U1" s="2"/>
      <c r="V1" s="2"/>
    </row>
    <row r="2" spans="1:24" ht="30.75" customHeight="1" thickBot="1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/>
      <c r="G2" s="6" t="s">
        <v>6</v>
      </c>
      <c r="H2" s="6" t="s">
        <v>7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1" t="s">
        <v>8</v>
      </c>
    </row>
    <row r="3" spans="1:24" ht="24" customHeight="1" thickBot="1">
      <c r="A3" s="12"/>
      <c r="B3" s="5"/>
      <c r="C3" s="13"/>
      <c r="D3" s="5"/>
      <c r="E3" s="14"/>
      <c r="F3" s="15"/>
      <c r="G3" s="13"/>
      <c r="H3" s="13"/>
      <c r="I3" s="16">
        <v>2013</v>
      </c>
      <c r="J3" s="17">
        <v>2014</v>
      </c>
      <c r="K3" s="16">
        <v>2015</v>
      </c>
      <c r="L3" s="16">
        <v>2016</v>
      </c>
      <c r="M3" s="16">
        <v>2017</v>
      </c>
      <c r="N3" s="16">
        <v>2018</v>
      </c>
      <c r="O3" s="16">
        <v>2019</v>
      </c>
      <c r="P3" s="16">
        <v>2020</v>
      </c>
      <c r="Q3" s="16">
        <v>2021</v>
      </c>
      <c r="R3" s="16">
        <v>2022</v>
      </c>
      <c r="S3" s="16">
        <v>2023</v>
      </c>
      <c r="T3" s="16">
        <v>2024</v>
      </c>
      <c r="U3" s="16">
        <v>2025</v>
      </c>
      <c r="V3" s="11"/>
    </row>
    <row r="4" spans="1:24" ht="15">
      <c r="A4" s="18"/>
      <c r="B4" s="19"/>
      <c r="C4" s="19"/>
      <c r="D4" s="18"/>
      <c r="E4" s="20"/>
      <c r="F4" s="21"/>
      <c r="G4" s="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4" s="29" customFormat="1" ht="15" customHeight="1">
      <c r="A5" s="24" t="s">
        <v>9</v>
      </c>
      <c r="B5" s="25"/>
      <c r="C5" s="25"/>
      <c r="D5" s="25"/>
      <c r="E5" s="25"/>
      <c r="F5" s="25"/>
      <c r="G5" s="26"/>
      <c r="H5" s="27">
        <f>SUM(H6:H7)</f>
        <v>2479501198</v>
      </c>
      <c r="I5" s="27">
        <f t="shared" ref="I5:U5" si="0">SUM(I6:I7)</f>
        <v>834925859</v>
      </c>
      <c r="J5" s="27">
        <f t="shared" si="0"/>
        <v>817451865</v>
      </c>
      <c r="K5" s="27">
        <f t="shared" si="0"/>
        <v>249322105</v>
      </c>
      <c r="L5" s="27">
        <f t="shared" si="0"/>
        <v>22151478</v>
      </c>
      <c r="M5" s="27">
        <f t="shared" si="0"/>
        <v>19730062</v>
      </c>
      <c r="N5" s="27">
        <f t="shared" si="0"/>
        <v>18640922</v>
      </c>
      <c r="O5" s="27">
        <f t="shared" si="0"/>
        <v>6048413</v>
      </c>
      <c r="P5" s="27">
        <f t="shared" si="0"/>
        <v>5820597</v>
      </c>
      <c r="Q5" s="27">
        <f t="shared" si="0"/>
        <v>200000</v>
      </c>
      <c r="R5" s="27">
        <f t="shared" si="0"/>
        <v>200000</v>
      </c>
      <c r="S5" s="27">
        <f t="shared" si="0"/>
        <v>200000</v>
      </c>
      <c r="T5" s="27">
        <f t="shared" si="0"/>
        <v>200000</v>
      </c>
      <c r="U5" s="27">
        <f t="shared" si="0"/>
        <v>200000</v>
      </c>
      <c r="V5" s="28">
        <f>SUM(V9,V171,V175)</f>
        <v>899375748</v>
      </c>
    </row>
    <row r="6" spans="1:24" s="29" customFormat="1" ht="15">
      <c r="A6" s="30" t="s">
        <v>10</v>
      </c>
      <c r="B6" s="31"/>
      <c r="C6" s="32"/>
      <c r="D6" s="33"/>
      <c r="E6" s="34"/>
      <c r="F6" s="35"/>
      <c r="G6" s="36"/>
      <c r="H6" s="27">
        <f t="shared" ref="H6:U7" si="1">SUM(H10,H172,H176)</f>
        <v>559367913</v>
      </c>
      <c r="I6" s="27">
        <f t="shared" si="1"/>
        <v>127495427</v>
      </c>
      <c r="J6" s="27">
        <f t="shared" si="1"/>
        <v>113136192</v>
      </c>
      <c r="K6" s="27">
        <f t="shared" si="1"/>
        <v>47018424</v>
      </c>
      <c r="L6" s="27">
        <f t="shared" si="1"/>
        <v>9151478</v>
      </c>
      <c r="M6" s="27">
        <f t="shared" si="1"/>
        <v>6730062</v>
      </c>
      <c r="N6" s="27">
        <f t="shared" si="1"/>
        <v>3640922</v>
      </c>
      <c r="O6" s="27">
        <f t="shared" si="1"/>
        <v>3221814</v>
      </c>
      <c r="P6" s="27">
        <f t="shared" si="1"/>
        <v>2993998</v>
      </c>
      <c r="Q6" s="27">
        <f t="shared" si="1"/>
        <v>200000</v>
      </c>
      <c r="R6" s="27">
        <f t="shared" si="1"/>
        <v>200000</v>
      </c>
      <c r="S6" s="27">
        <f t="shared" si="1"/>
        <v>200000</v>
      </c>
      <c r="T6" s="27">
        <f t="shared" si="1"/>
        <v>200000</v>
      </c>
      <c r="U6" s="27">
        <f t="shared" si="1"/>
        <v>200000</v>
      </c>
      <c r="V6" s="27"/>
    </row>
    <row r="7" spans="1:24" s="29" customFormat="1" ht="15">
      <c r="A7" s="30" t="s">
        <v>11</v>
      </c>
      <c r="B7" s="31"/>
      <c r="C7" s="32"/>
      <c r="D7" s="33"/>
      <c r="E7" s="34"/>
      <c r="F7" s="35"/>
      <c r="G7" s="36"/>
      <c r="H7" s="27">
        <f t="shared" si="1"/>
        <v>1920133285</v>
      </c>
      <c r="I7" s="27">
        <f t="shared" si="1"/>
        <v>707430432</v>
      </c>
      <c r="J7" s="27">
        <f t="shared" si="1"/>
        <v>704315673</v>
      </c>
      <c r="K7" s="27">
        <f t="shared" si="1"/>
        <v>202303681</v>
      </c>
      <c r="L7" s="27">
        <f t="shared" si="1"/>
        <v>13000000</v>
      </c>
      <c r="M7" s="27">
        <f t="shared" si="1"/>
        <v>13000000</v>
      </c>
      <c r="N7" s="27">
        <f t="shared" si="1"/>
        <v>15000000</v>
      </c>
      <c r="O7" s="27">
        <f t="shared" si="1"/>
        <v>2826599</v>
      </c>
      <c r="P7" s="27">
        <f t="shared" si="1"/>
        <v>2826599</v>
      </c>
      <c r="Q7" s="27">
        <f t="shared" si="1"/>
        <v>0</v>
      </c>
      <c r="R7" s="27">
        <f t="shared" si="1"/>
        <v>0</v>
      </c>
      <c r="S7" s="27">
        <f t="shared" si="1"/>
        <v>0</v>
      </c>
      <c r="T7" s="27">
        <f t="shared" si="1"/>
        <v>0</v>
      </c>
      <c r="U7" s="27">
        <f t="shared" si="1"/>
        <v>0</v>
      </c>
      <c r="V7" s="27"/>
    </row>
    <row r="8" spans="1:24" s="43" customFormat="1" ht="15">
      <c r="A8" s="37"/>
      <c r="B8" s="38"/>
      <c r="C8" s="38"/>
      <c r="D8" s="37"/>
      <c r="E8" s="39"/>
      <c r="F8" s="40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4" s="49" customFormat="1" ht="29.25" customHeight="1">
      <c r="A9" s="44" t="s">
        <v>12</v>
      </c>
      <c r="B9" s="45"/>
      <c r="C9" s="45"/>
      <c r="D9" s="45"/>
      <c r="E9" s="45"/>
      <c r="F9" s="45"/>
      <c r="G9" s="46"/>
      <c r="H9" s="47">
        <f>SUM(H10:H11)</f>
        <v>1665508675</v>
      </c>
      <c r="I9" s="47">
        <f t="shared" ref="I9:U9" si="2">SUM(I10:I11)</f>
        <v>667119988</v>
      </c>
      <c r="J9" s="47">
        <f t="shared" si="2"/>
        <v>696073293</v>
      </c>
      <c r="K9" s="47">
        <f t="shared" si="2"/>
        <v>184931961</v>
      </c>
      <c r="L9" s="47">
        <f t="shared" si="2"/>
        <v>2709303</v>
      </c>
      <c r="M9" s="47">
        <f t="shared" si="2"/>
        <v>2020519</v>
      </c>
      <c r="N9" s="47">
        <f t="shared" si="2"/>
        <v>1765431</v>
      </c>
      <c r="O9" s="47">
        <f t="shared" si="2"/>
        <v>4172922</v>
      </c>
      <c r="P9" s="47">
        <f t="shared" si="2"/>
        <v>3945106</v>
      </c>
      <c r="Q9" s="47">
        <f t="shared" si="2"/>
        <v>0</v>
      </c>
      <c r="R9" s="47">
        <f t="shared" si="2"/>
        <v>0</v>
      </c>
      <c r="S9" s="47">
        <f t="shared" si="2"/>
        <v>0</v>
      </c>
      <c r="T9" s="47">
        <f t="shared" si="2"/>
        <v>0</v>
      </c>
      <c r="U9" s="47">
        <f t="shared" si="2"/>
        <v>0</v>
      </c>
      <c r="V9" s="48">
        <f>SUM(V12,V37,V42,V47,V196,V17,V22,V27,V32,V52,V58,V66,V74,V80,V86,V92,V97,V103,V109,V116,V122,V129,V136,V141,V146,V151,V156,V163,)</f>
        <v>823391356</v>
      </c>
      <c r="X9" s="50"/>
    </row>
    <row r="10" spans="1:24" s="49" customFormat="1" ht="15">
      <c r="A10" s="51" t="s">
        <v>10</v>
      </c>
      <c r="B10" s="52"/>
      <c r="C10" s="53"/>
      <c r="D10" s="54"/>
      <c r="E10" s="55"/>
      <c r="F10" s="56"/>
      <c r="G10" s="57"/>
      <c r="H10" s="47">
        <f>SUM(H38,H43,H48,H53,H59,H67,H75,H81,H87,H93,H98,H110,H117,H123,H130,H137,H152,H164,H142,H104,H157,H147,H13,H18,H23,H33,H28)</f>
        <v>96669314</v>
      </c>
      <c r="I10" s="47">
        <f t="shared" ref="I10:U10" si="3">SUM(I38,I43,I48,I53,I59,I67,I75,I81,I87,I93,I98,I110,I117,I123,I130,I137,I152,I164,I142,I104,I157,I147,I13,I18,I23,I33,I28)</f>
        <v>27886579</v>
      </c>
      <c r="J10" s="47">
        <f t="shared" si="3"/>
        <v>36529828</v>
      </c>
      <c r="K10" s="47">
        <f t="shared" si="3"/>
        <v>4737765</v>
      </c>
      <c r="L10" s="47">
        <f t="shared" si="3"/>
        <v>2709303</v>
      </c>
      <c r="M10" s="47">
        <f t="shared" si="3"/>
        <v>2020519</v>
      </c>
      <c r="N10" s="47">
        <f t="shared" si="3"/>
        <v>1765431</v>
      </c>
      <c r="O10" s="47">
        <f t="shared" si="3"/>
        <v>1346323</v>
      </c>
      <c r="P10" s="47">
        <f t="shared" si="3"/>
        <v>1118507</v>
      </c>
      <c r="Q10" s="47">
        <f t="shared" si="3"/>
        <v>0</v>
      </c>
      <c r="R10" s="47">
        <f t="shared" si="3"/>
        <v>0</v>
      </c>
      <c r="S10" s="47">
        <f t="shared" si="3"/>
        <v>0</v>
      </c>
      <c r="T10" s="47">
        <f t="shared" si="3"/>
        <v>0</v>
      </c>
      <c r="U10" s="47">
        <f t="shared" si="3"/>
        <v>0</v>
      </c>
      <c r="V10" s="47"/>
    </row>
    <row r="11" spans="1:24" s="49" customFormat="1" ht="15">
      <c r="A11" s="51" t="s">
        <v>11</v>
      </c>
      <c r="B11" s="52"/>
      <c r="C11" s="53"/>
      <c r="D11" s="54"/>
      <c r="E11" s="55"/>
      <c r="F11" s="56"/>
      <c r="G11" s="57"/>
      <c r="H11" s="47">
        <f>SUM(,H14,H19,H24,H29,H34,H39,H44,H49,H57,H62,H69,H76,H82,H88,H94,H99,H112,H119,H125,H133,H138,H154,H167,H105,H160,H150,)</f>
        <v>1568839361</v>
      </c>
      <c r="I11" s="47">
        <f t="shared" ref="I11:U11" si="4">SUM(,I14,I19,I24,I29,I34,I39,I44,I49,I57,I62,I69,I76,I82,I88,I94,I99,I112,I119,I125,I133,I138,I154,I167,I105,I160,I150,)</f>
        <v>639233409</v>
      </c>
      <c r="J11" s="47">
        <f t="shared" si="4"/>
        <v>659543465</v>
      </c>
      <c r="K11" s="47">
        <f t="shared" si="4"/>
        <v>180194196</v>
      </c>
      <c r="L11" s="47">
        <f t="shared" si="4"/>
        <v>0</v>
      </c>
      <c r="M11" s="47">
        <f t="shared" si="4"/>
        <v>0</v>
      </c>
      <c r="N11" s="47">
        <f t="shared" si="4"/>
        <v>0</v>
      </c>
      <c r="O11" s="47">
        <f t="shared" si="4"/>
        <v>2826599</v>
      </c>
      <c r="P11" s="47">
        <f t="shared" si="4"/>
        <v>2826599</v>
      </c>
      <c r="Q11" s="47">
        <f t="shared" si="4"/>
        <v>0</v>
      </c>
      <c r="R11" s="47">
        <f t="shared" si="4"/>
        <v>0</v>
      </c>
      <c r="S11" s="47">
        <f t="shared" si="4"/>
        <v>0</v>
      </c>
      <c r="T11" s="47">
        <f t="shared" si="4"/>
        <v>0</v>
      </c>
      <c r="U11" s="47">
        <f t="shared" si="4"/>
        <v>0</v>
      </c>
      <c r="V11" s="47"/>
      <c r="W11" s="50"/>
      <c r="X11" s="50"/>
    </row>
    <row r="12" spans="1:24" s="66" customFormat="1" ht="135">
      <c r="A12" s="58">
        <v>1</v>
      </c>
      <c r="B12" s="59" t="s">
        <v>13</v>
      </c>
      <c r="C12" s="59" t="s">
        <v>14</v>
      </c>
      <c r="D12" s="60" t="s">
        <v>15</v>
      </c>
      <c r="E12" s="61" t="s">
        <v>16</v>
      </c>
      <c r="F12" s="62"/>
      <c r="G12" s="63" t="s">
        <v>17</v>
      </c>
      <c r="H12" s="64">
        <f>SUM(H13:H14)</f>
        <v>1600000</v>
      </c>
      <c r="I12" s="64">
        <f t="shared" ref="I12:J12" si="5">SUM(I13:I14)</f>
        <v>800000</v>
      </c>
      <c r="J12" s="64">
        <f t="shared" si="5"/>
        <v>800000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>
        <v>800000</v>
      </c>
    </row>
    <row r="13" spans="1:24" s="66" customFormat="1" ht="15">
      <c r="A13" s="67" t="s">
        <v>10</v>
      </c>
      <c r="B13" s="68"/>
      <c r="C13" s="69"/>
      <c r="D13" s="70"/>
      <c r="E13" s="71"/>
      <c r="F13" s="72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4" s="66" customFormat="1" ht="15">
      <c r="A14" s="67" t="s">
        <v>18</v>
      </c>
      <c r="B14" s="68"/>
      <c r="C14" s="69"/>
      <c r="D14" s="70"/>
      <c r="E14" s="71"/>
      <c r="F14" s="72"/>
      <c r="G14" s="73"/>
      <c r="H14" s="74">
        <f>SUM(H15:H16)</f>
        <v>1600000</v>
      </c>
      <c r="I14" s="74">
        <f t="shared" ref="I14:J14" si="6">SUM(I15:I16)</f>
        <v>800000</v>
      </c>
      <c r="J14" s="74">
        <f t="shared" si="6"/>
        <v>800000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65"/>
    </row>
    <row r="15" spans="1:24" s="66" customFormat="1" ht="15">
      <c r="A15" s="75"/>
      <c r="B15" s="76" t="s">
        <v>19</v>
      </c>
      <c r="C15" s="77"/>
      <c r="D15" s="70"/>
      <c r="E15" s="71"/>
      <c r="F15" s="72"/>
      <c r="G15" s="73"/>
      <c r="H15" s="74">
        <v>1170000</v>
      </c>
      <c r="I15" s="74">
        <v>585000</v>
      </c>
      <c r="J15" s="74">
        <v>585000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</row>
    <row r="16" spans="1:24" s="66" customFormat="1" ht="15">
      <c r="A16" s="75"/>
      <c r="B16" s="76" t="s">
        <v>20</v>
      </c>
      <c r="C16" s="77"/>
      <c r="D16" s="78"/>
      <c r="E16" s="79"/>
      <c r="F16" s="80"/>
      <c r="G16" s="81"/>
      <c r="H16" s="74">
        <v>430000</v>
      </c>
      <c r="I16" s="82">
        <v>215000</v>
      </c>
      <c r="J16" s="83">
        <v>215000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</row>
    <row r="17" spans="1:22" s="66" customFormat="1" ht="180">
      <c r="A17" s="84">
        <v>2</v>
      </c>
      <c r="B17" s="84" t="s">
        <v>21</v>
      </c>
      <c r="C17" s="84" t="s">
        <v>22</v>
      </c>
      <c r="D17" s="85" t="s">
        <v>23</v>
      </c>
      <c r="E17" s="61" t="s">
        <v>24</v>
      </c>
      <c r="F17" s="62"/>
      <c r="G17" s="63" t="s">
        <v>25</v>
      </c>
      <c r="H17" s="86">
        <f>SUM(H18:H19)</f>
        <v>17340000</v>
      </c>
      <c r="I17" s="86">
        <f t="shared" ref="I17:K17" si="7">SUM(I18:I19)</f>
        <v>7340000</v>
      </c>
      <c r="J17" s="86">
        <f t="shared" si="7"/>
        <v>5000000</v>
      </c>
      <c r="K17" s="86">
        <f t="shared" si="7"/>
        <v>5000000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>
        <v>10000000</v>
      </c>
    </row>
    <row r="18" spans="1:22" s="66" customFormat="1" ht="15" customHeight="1">
      <c r="A18" s="67" t="s">
        <v>10</v>
      </c>
      <c r="B18" s="68"/>
      <c r="C18" s="69"/>
      <c r="D18" s="87"/>
      <c r="E18" s="71"/>
      <c r="F18" s="72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</row>
    <row r="19" spans="1:22" s="66" customFormat="1" ht="15">
      <c r="A19" s="67" t="s">
        <v>18</v>
      </c>
      <c r="B19" s="68"/>
      <c r="C19" s="69"/>
      <c r="D19" s="87"/>
      <c r="E19" s="71"/>
      <c r="F19" s="72"/>
      <c r="G19" s="73"/>
      <c r="H19" s="74">
        <f>SUM(H20:H21)</f>
        <v>17340000</v>
      </c>
      <c r="I19" s="74">
        <f t="shared" ref="I19:K19" si="8">SUM(I20:I21)</f>
        <v>7340000</v>
      </c>
      <c r="J19" s="74">
        <f t="shared" si="8"/>
        <v>5000000</v>
      </c>
      <c r="K19" s="74">
        <f t="shared" si="8"/>
        <v>5000000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</row>
    <row r="20" spans="1:22" s="66" customFormat="1" ht="15">
      <c r="A20" s="88"/>
      <c r="B20" s="76" t="s">
        <v>19</v>
      </c>
      <c r="C20" s="77"/>
      <c r="D20" s="87"/>
      <c r="E20" s="71"/>
      <c r="F20" s="72"/>
      <c r="G20" s="73"/>
      <c r="H20" s="74">
        <v>10574000</v>
      </c>
      <c r="I20" s="74">
        <v>4476000</v>
      </c>
      <c r="J20" s="74">
        <v>3049000</v>
      </c>
      <c r="K20" s="74">
        <v>3049000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</row>
    <row r="21" spans="1:22" s="66" customFormat="1" ht="15">
      <c r="A21" s="88"/>
      <c r="B21" s="76" t="s">
        <v>20</v>
      </c>
      <c r="C21" s="77"/>
      <c r="D21" s="89"/>
      <c r="E21" s="79"/>
      <c r="F21" s="80"/>
      <c r="G21" s="81"/>
      <c r="H21" s="74">
        <v>6766000</v>
      </c>
      <c r="I21" s="74">
        <v>2864000</v>
      </c>
      <c r="J21" s="74">
        <v>1951000</v>
      </c>
      <c r="K21" s="74">
        <v>1951000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</row>
    <row r="22" spans="1:22" s="66" customFormat="1" ht="255">
      <c r="A22" s="84">
        <v>3</v>
      </c>
      <c r="B22" s="84" t="s">
        <v>26</v>
      </c>
      <c r="C22" s="84" t="s">
        <v>27</v>
      </c>
      <c r="D22" s="85" t="s">
        <v>23</v>
      </c>
      <c r="E22" s="61" t="s">
        <v>28</v>
      </c>
      <c r="F22" s="62"/>
      <c r="G22" s="63" t="s">
        <v>25</v>
      </c>
      <c r="H22" s="86">
        <f>SUM(H23:H24)</f>
        <v>19740000</v>
      </c>
      <c r="I22" s="86">
        <f t="shared" ref="I22:J22" si="9">SUM(I23:I24)</f>
        <v>10000000</v>
      </c>
      <c r="J22" s="86">
        <f t="shared" si="9"/>
        <v>9740000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>
        <v>9740000</v>
      </c>
    </row>
    <row r="23" spans="1:22" s="66" customFormat="1" ht="15" customHeight="1">
      <c r="A23" s="67" t="s">
        <v>10</v>
      </c>
      <c r="B23" s="68"/>
      <c r="C23" s="69"/>
      <c r="D23" s="87"/>
      <c r="E23" s="71"/>
      <c r="F23" s="72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1:22" s="66" customFormat="1" ht="15">
      <c r="A24" s="67" t="s">
        <v>18</v>
      </c>
      <c r="B24" s="68"/>
      <c r="C24" s="69"/>
      <c r="D24" s="87"/>
      <c r="E24" s="71"/>
      <c r="F24" s="72"/>
      <c r="G24" s="73"/>
      <c r="H24" s="74">
        <f>SUM(H25:H26)</f>
        <v>19740000</v>
      </c>
      <c r="I24" s="74">
        <f t="shared" ref="I24:J24" si="10">SUM(I25:I26)</f>
        <v>10000000</v>
      </c>
      <c r="J24" s="74">
        <f t="shared" si="10"/>
        <v>9740000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</row>
    <row r="25" spans="1:22" s="66" customFormat="1" ht="15">
      <c r="A25" s="88"/>
      <c r="B25" s="76" t="s">
        <v>19</v>
      </c>
      <c r="C25" s="77"/>
      <c r="D25" s="87"/>
      <c r="E25" s="71"/>
      <c r="F25" s="72"/>
      <c r="G25" s="73"/>
      <c r="H25" s="74">
        <v>12037000</v>
      </c>
      <c r="I25" s="74">
        <v>6098000</v>
      </c>
      <c r="J25" s="74">
        <v>5939000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1:22" s="66" customFormat="1" ht="15">
      <c r="A26" s="88"/>
      <c r="B26" s="76" t="s">
        <v>20</v>
      </c>
      <c r="C26" s="77"/>
      <c r="D26" s="89"/>
      <c r="E26" s="79"/>
      <c r="F26" s="80"/>
      <c r="G26" s="81"/>
      <c r="H26" s="74">
        <v>7703000</v>
      </c>
      <c r="I26" s="74">
        <v>3902000</v>
      </c>
      <c r="J26" s="74">
        <v>3801000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22" s="66" customFormat="1" ht="180">
      <c r="A27" s="84">
        <v>4</v>
      </c>
      <c r="B27" s="84" t="s">
        <v>29</v>
      </c>
      <c r="C27" s="84" t="s">
        <v>30</v>
      </c>
      <c r="D27" s="85" t="s">
        <v>23</v>
      </c>
      <c r="E27" s="61" t="s">
        <v>24</v>
      </c>
      <c r="F27" s="62"/>
      <c r="G27" s="63" t="s">
        <v>25</v>
      </c>
      <c r="H27" s="86">
        <f>SUM(H28:H29)</f>
        <v>3660000</v>
      </c>
      <c r="I27" s="86">
        <f t="shared" ref="I27:K27" si="11">SUM(I28:I29)</f>
        <v>2000000</v>
      </c>
      <c r="J27" s="86">
        <f t="shared" si="11"/>
        <v>830000</v>
      </c>
      <c r="K27" s="86">
        <f t="shared" si="11"/>
        <v>830000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>
        <v>1660000</v>
      </c>
    </row>
    <row r="28" spans="1:22" s="66" customFormat="1" ht="15" customHeight="1">
      <c r="A28" s="67" t="s">
        <v>10</v>
      </c>
      <c r="B28" s="68"/>
      <c r="C28" s="69"/>
      <c r="D28" s="87"/>
      <c r="E28" s="71"/>
      <c r="F28" s="72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</row>
    <row r="29" spans="1:22" s="66" customFormat="1" ht="15">
      <c r="A29" s="67" t="s">
        <v>18</v>
      </c>
      <c r="B29" s="68"/>
      <c r="C29" s="69"/>
      <c r="D29" s="87"/>
      <c r="E29" s="71"/>
      <c r="F29" s="72"/>
      <c r="G29" s="73"/>
      <c r="H29" s="74">
        <f>SUM(H30:H31)</f>
        <v>3660000</v>
      </c>
      <c r="I29" s="74">
        <f t="shared" ref="I29:K29" si="12">SUM(I30:I31)</f>
        <v>2000000</v>
      </c>
      <c r="J29" s="74">
        <f t="shared" si="12"/>
        <v>830000</v>
      </c>
      <c r="K29" s="74">
        <f t="shared" si="12"/>
        <v>830000</v>
      </c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22" s="66" customFormat="1" ht="15">
      <c r="A30" s="88"/>
      <c r="B30" s="76" t="s">
        <v>19</v>
      </c>
      <c r="C30" s="77"/>
      <c r="D30" s="87"/>
      <c r="E30" s="71"/>
      <c r="F30" s="72"/>
      <c r="G30" s="73"/>
      <c r="H30" s="74">
        <v>2231000</v>
      </c>
      <c r="I30" s="74">
        <v>1219000</v>
      </c>
      <c r="J30" s="74">
        <v>506000</v>
      </c>
      <c r="K30" s="74">
        <v>506000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</row>
    <row r="31" spans="1:22" s="66" customFormat="1" ht="15">
      <c r="A31" s="88"/>
      <c r="B31" s="76" t="s">
        <v>20</v>
      </c>
      <c r="C31" s="77"/>
      <c r="D31" s="89"/>
      <c r="E31" s="79"/>
      <c r="F31" s="80"/>
      <c r="G31" s="81"/>
      <c r="H31" s="74">
        <v>1429000</v>
      </c>
      <c r="I31" s="74">
        <v>781000</v>
      </c>
      <c r="J31" s="74">
        <v>324000</v>
      </c>
      <c r="K31" s="74">
        <v>324000</v>
      </c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1:22" s="66" customFormat="1" ht="180">
      <c r="A32" s="84">
        <v>5</v>
      </c>
      <c r="B32" s="84" t="s">
        <v>31</v>
      </c>
      <c r="C32" s="84" t="s">
        <v>32</v>
      </c>
      <c r="D32" s="85" t="s">
        <v>23</v>
      </c>
      <c r="E32" s="61" t="s">
        <v>24</v>
      </c>
      <c r="F32" s="62"/>
      <c r="G32" s="63" t="s">
        <v>25</v>
      </c>
      <c r="H32" s="86">
        <f>SUM(H33:H34)</f>
        <v>25210000</v>
      </c>
      <c r="I32" s="86">
        <f t="shared" ref="I32:K32" si="13">SUM(I33:I34)</f>
        <v>6500000</v>
      </c>
      <c r="J32" s="86">
        <f t="shared" si="13"/>
        <v>9355000</v>
      </c>
      <c r="K32" s="86">
        <f t="shared" si="13"/>
        <v>9355000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>
        <v>18710000</v>
      </c>
    </row>
    <row r="33" spans="1:22" s="66" customFormat="1" ht="15" customHeight="1">
      <c r="A33" s="67" t="s">
        <v>10</v>
      </c>
      <c r="B33" s="68"/>
      <c r="C33" s="69"/>
      <c r="D33" s="87"/>
      <c r="E33" s="71"/>
      <c r="F33" s="72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1:22" s="66" customFormat="1" ht="15">
      <c r="A34" s="67" t="s">
        <v>18</v>
      </c>
      <c r="B34" s="68"/>
      <c r="C34" s="69"/>
      <c r="D34" s="87"/>
      <c r="E34" s="71"/>
      <c r="F34" s="72"/>
      <c r="G34" s="73"/>
      <c r="H34" s="74">
        <f>SUM(H35:H36)</f>
        <v>25210000</v>
      </c>
      <c r="I34" s="74">
        <f t="shared" ref="I34:K34" si="14">SUM(I35:I36)</f>
        <v>6500000</v>
      </c>
      <c r="J34" s="74">
        <f t="shared" si="14"/>
        <v>9355000</v>
      </c>
      <c r="K34" s="74">
        <f t="shared" si="14"/>
        <v>9355000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1:22" s="66" customFormat="1" ht="15">
      <c r="A35" s="88"/>
      <c r="B35" s="76" t="s">
        <v>19</v>
      </c>
      <c r="C35" s="77"/>
      <c r="D35" s="87"/>
      <c r="E35" s="71"/>
      <c r="F35" s="72"/>
      <c r="G35" s="73"/>
      <c r="H35" s="74">
        <v>15371000</v>
      </c>
      <c r="I35" s="74">
        <v>3963000</v>
      </c>
      <c r="J35" s="74">
        <v>5704000</v>
      </c>
      <c r="K35" s="74">
        <v>5704000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</row>
    <row r="36" spans="1:22" s="66" customFormat="1" ht="15">
      <c r="A36" s="88"/>
      <c r="B36" s="76" t="s">
        <v>20</v>
      </c>
      <c r="C36" s="77"/>
      <c r="D36" s="89"/>
      <c r="E36" s="79"/>
      <c r="F36" s="80"/>
      <c r="G36" s="81"/>
      <c r="H36" s="74">
        <v>9839000</v>
      </c>
      <c r="I36" s="74">
        <v>2537000</v>
      </c>
      <c r="J36" s="74">
        <v>3651000</v>
      </c>
      <c r="K36" s="74">
        <v>3651000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  <row r="37" spans="1:22" s="66" customFormat="1" ht="60">
      <c r="A37" s="58">
        <v>6</v>
      </c>
      <c r="B37" s="59" t="s">
        <v>33</v>
      </c>
      <c r="C37" s="59" t="s">
        <v>34</v>
      </c>
      <c r="D37" s="60" t="s">
        <v>15</v>
      </c>
      <c r="E37" s="61" t="s">
        <v>35</v>
      </c>
      <c r="F37" s="62"/>
      <c r="G37" s="63" t="s">
        <v>36</v>
      </c>
      <c r="H37" s="64">
        <f>SUM(H38:H39)</f>
        <v>36013711</v>
      </c>
      <c r="I37" s="64">
        <f t="shared" ref="I37:J37" si="15">SUM(I38:I39)</f>
        <v>11633000</v>
      </c>
      <c r="J37" s="64">
        <f t="shared" si="15"/>
        <v>8519357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>
        <f>23722288-23722288+5078857</f>
        <v>5078857</v>
      </c>
    </row>
    <row r="38" spans="1:22" s="66" customFormat="1" ht="15">
      <c r="A38" s="67" t="s">
        <v>10</v>
      </c>
      <c r="B38" s="68"/>
      <c r="C38" s="69"/>
      <c r="D38" s="70"/>
      <c r="E38" s="71"/>
      <c r="F38" s="72"/>
      <c r="G38" s="73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</row>
    <row r="39" spans="1:22" s="66" customFormat="1" ht="15">
      <c r="A39" s="67" t="s">
        <v>18</v>
      </c>
      <c r="B39" s="68"/>
      <c r="C39" s="69"/>
      <c r="D39" s="70"/>
      <c r="E39" s="71"/>
      <c r="F39" s="72"/>
      <c r="G39" s="73"/>
      <c r="H39" s="74">
        <f>SUM(H40:H41)</f>
        <v>36013711</v>
      </c>
      <c r="I39" s="74">
        <f t="shared" ref="I39:J39" si="16">SUM(I40:I41)</f>
        <v>11633000</v>
      </c>
      <c r="J39" s="74">
        <f t="shared" si="16"/>
        <v>8519357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65"/>
    </row>
    <row r="40" spans="1:22" s="66" customFormat="1" ht="15">
      <c r="A40" s="75"/>
      <c r="B40" s="76" t="s">
        <v>19</v>
      </c>
      <c r="C40" s="77"/>
      <c r="D40" s="70"/>
      <c r="E40" s="71"/>
      <c r="F40" s="72"/>
      <c r="G40" s="73"/>
      <c r="H40" s="74">
        <v>15451357</v>
      </c>
      <c r="I40" s="74">
        <v>6932000</v>
      </c>
      <c r="J40" s="74">
        <v>8519357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</row>
    <row r="41" spans="1:22" s="66" customFormat="1" ht="15">
      <c r="A41" s="75"/>
      <c r="B41" s="76" t="s">
        <v>20</v>
      </c>
      <c r="C41" s="77"/>
      <c r="D41" s="78"/>
      <c r="E41" s="79"/>
      <c r="F41" s="80"/>
      <c r="G41" s="81"/>
      <c r="H41" s="74">
        <v>20562354</v>
      </c>
      <c r="I41" s="82">
        <v>4701000</v>
      </c>
      <c r="J41" s="8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s="66" customFormat="1" ht="120">
      <c r="A42" s="84">
        <v>7</v>
      </c>
      <c r="B42" s="84" t="s">
        <v>37</v>
      </c>
      <c r="C42" s="84" t="s">
        <v>38</v>
      </c>
      <c r="D42" s="85" t="s">
        <v>39</v>
      </c>
      <c r="E42" s="61" t="s">
        <v>40</v>
      </c>
      <c r="F42" s="62"/>
      <c r="G42" s="63" t="s">
        <v>41</v>
      </c>
      <c r="H42" s="86">
        <f>SUM(H43:H44)</f>
        <v>6214844</v>
      </c>
      <c r="I42" s="86">
        <f t="shared" ref="I42:J42" si="17">SUM(I43:I44)</f>
        <v>2893354</v>
      </c>
      <c r="J42" s="86">
        <f t="shared" si="17"/>
        <v>514640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>
        <v>514640</v>
      </c>
    </row>
    <row r="43" spans="1:22" s="66" customFormat="1" ht="15">
      <c r="A43" s="67" t="s">
        <v>10</v>
      </c>
      <c r="B43" s="68"/>
      <c r="C43" s="69"/>
      <c r="D43" s="87"/>
      <c r="E43" s="71"/>
      <c r="F43" s="72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4" spans="1:22" s="66" customFormat="1" ht="15">
      <c r="A44" s="67" t="s">
        <v>18</v>
      </c>
      <c r="B44" s="68"/>
      <c r="C44" s="69"/>
      <c r="D44" s="87"/>
      <c r="E44" s="71"/>
      <c r="F44" s="72"/>
      <c r="G44" s="73"/>
      <c r="H44" s="74">
        <f>SUM(H45:H46)</f>
        <v>6214844</v>
      </c>
      <c r="I44" s="74">
        <f t="shared" ref="I44:J44" si="18">SUM(I45:I46)</f>
        <v>2893354</v>
      </c>
      <c r="J44" s="74">
        <f t="shared" si="18"/>
        <v>514640</v>
      </c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s="66" customFormat="1" ht="15">
      <c r="A45" s="90"/>
      <c r="B45" s="76" t="s">
        <v>19</v>
      </c>
      <c r="C45" s="77"/>
      <c r="D45" s="87"/>
      <c r="E45" s="71"/>
      <c r="F45" s="72"/>
      <c r="G45" s="73"/>
      <c r="H45" s="74">
        <v>2888354</v>
      </c>
      <c r="I45" s="74">
        <v>2888354</v>
      </c>
      <c r="J45" s="74">
        <v>0</v>
      </c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</row>
    <row r="46" spans="1:22" s="66" customFormat="1" ht="15">
      <c r="A46" s="90"/>
      <c r="B46" s="76" t="s">
        <v>20</v>
      </c>
      <c r="C46" s="77"/>
      <c r="D46" s="89"/>
      <c r="E46" s="79"/>
      <c r="F46" s="80"/>
      <c r="G46" s="81"/>
      <c r="H46" s="74">
        <v>3326490</v>
      </c>
      <c r="I46" s="74">
        <v>5000</v>
      </c>
      <c r="J46" s="74">
        <v>514640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s="66" customFormat="1" ht="149.25" customHeight="1">
      <c r="A47" s="84">
        <v>8</v>
      </c>
      <c r="B47" s="84" t="s">
        <v>42</v>
      </c>
      <c r="C47" s="84" t="s">
        <v>43</v>
      </c>
      <c r="D47" s="85" t="s">
        <v>23</v>
      </c>
      <c r="E47" s="61" t="s">
        <v>44</v>
      </c>
      <c r="F47" s="62"/>
      <c r="G47" s="63" t="s">
        <v>41</v>
      </c>
      <c r="H47" s="86">
        <f>SUM(H48:H49)</f>
        <v>26543778</v>
      </c>
      <c r="I47" s="86">
        <f t="shared" ref="I47:J47" si="19">SUM(I48:I49)</f>
        <v>25267621</v>
      </c>
      <c r="J47" s="86">
        <f t="shared" si="19"/>
        <v>884622</v>
      </c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>
        <v>884622</v>
      </c>
    </row>
    <row r="48" spans="1:22" s="66" customFormat="1" ht="15" customHeight="1">
      <c r="A48" s="67" t="s">
        <v>10</v>
      </c>
      <c r="B48" s="68"/>
      <c r="C48" s="69"/>
      <c r="D48" s="87"/>
      <c r="E48" s="71"/>
      <c r="F48" s="72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</row>
    <row r="49" spans="1:22" s="66" customFormat="1" ht="15">
      <c r="A49" s="67" t="s">
        <v>18</v>
      </c>
      <c r="B49" s="68"/>
      <c r="C49" s="69"/>
      <c r="D49" s="87"/>
      <c r="E49" s="71"/>
      <c r="F49" s="72"/>
      <c r="G49" s="73"/>
      <c r="H49" s="74">
        <f>SUM(H50:H51)</f>
        <v>26543778</v>
      </c>
      <c r="I49" s="74">
        <f t="shared" ref="I49:J49" si="20">SUM(I50:I51)</f>
        <v>25267621</v>
      </c>
      <c r="J49" s="74">
        <f t="shared" si="20"/>
        <v>884622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 s="66" customFormat="1" ht="15">
      <c r="A50" s="88"/>
      <c r="B50" s="76" t="s">
        <v>19</v>
      </c>
      <c r="C50" s="77"/>
      <c r="D50" s="87"/>
      <c r="E50" s="71"/>
      <c r="F50" s="72"/>
      <c r="G50" s="73"/>
      <c r="H50" s="74">
        <v>21875621</v>
      </c>
      <c r="I50" s="74">
        <v>21875621</v>
      </c>
      <c r="J50" s="74">
        <v>0</v>
      </c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s="66" customFormat="1" ht="15">
      <c r="A51" s="88"/>
      <c r="B51" s="76" t="s">
        <v>20</v>
      </c>
      <c r="C51" s="77"/>
      <c r="D51" s="89"/>
      <c r="E51" s="79"/>
      <c r="F51" s="80"/>
      <c r="G51" s="81"/>
      <c r="H51" s="74">
        <v>4668157</v>
      </c>
      <c r="I51" s="74">
        <v>3392000</v>
      </c>
      <c r="J51" s="74">
        <v>884622</v>
      </c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</row>
    <row r="52" spans="1:22" s="66" customFormat="1" ht="135">
      <c r="A52" s="84">
        <v>9</v>
      </c>
      <c r="B52" s="84" t="s">
        <v>45</v>
      </c>
      <c r="C52" s="84" t="s">
        <v>46</v>
      </c>
      <c r="D52" s="85" t="s">
        <v>47</v>
      </c>
      <c r="E52" s="61" t="s">
        <v>48</v>
      </c>
      <c r="F52" s="62"/>
      <c r="G52" s="63" t="s">
        <v>49</v>
      </c>
      <c r="H52" s="86">
        <f>SUM(H53,H57)</f>
        <v>2412916</v>
      </c>
      <c r="I52" s="86">
        <f t="shared" ref="I52:P52" si="21">SUM(I53,I57)</f>
        <v>305185</v>
      </c>
      <c r="J52" s="86">
        <f t="shared" si="21"/>
        <v>305185</v>
      </c>
      <c r="K52" s="86">
        <f t="shared" si="21"/>
        <v>284733</v>
      </c>
      <c r="L52" s="86">
        <f t="shared" si="21"/>
        <v>231732</v>
      </c>
      <c r="M52" s="86">
        <f t="shared" si="21"/>
        <v>231732</v>
      </c>
      <c r="N52" s="86">
        <f t="shared" si="21"/>
        <v>231732</v>
      </c>
      <c r="O52" s="86">
        <f t="shared" si="21"/>
        <v>231732</v>
      </c>
      <c r="P52" s="86">
        <f t="shared" si="21"/>
        <v>231732</v>
      </c>
      <c r="Q52" s="86"/>
      <c r="R52" s="86"/>
      <c r="S52" s="86"/>
      <c r="T52" s="86"/>
      <c r="U52" s="86"/>
      <c r="V52" s="86">
        <v>589918</v>
      </c>
    </row>
    <row r="53" spans="1:22" s="66" customFormat="1" ht="15">
      <c r="A53" s="67" t="s">
        <v>50</v>
      </c>
      <c r="B53" s="68"/>
      <c r="C53" s="69"/>
      <c r="D53" s="87"/>
      <c r="E53" s="71"/>
      <c r="F53" s="72"/>
      <c r="G53" s="73"/>
      <c r="H53" s="74">
        <f>SUM(H54:H56)</f>
        <v>2412916</v>
      </c>
      <c r="I53" s="74">
        <f t="shared" ref="I53:P53" si="22">SUM(I54:I56)</f>
        <v>305185</v>
      </c>
      <c r="J53" s="74">
        <f t="shared" si="22"/>
        <v>305185</v>
      </c>
      <c r="K53" s="74">
        <f t="shared" si="22"/>
        <v>284733</v>
      </c>
      <c r="L53" s="74">
        <f t="shared" si="22"/>
        <v>231732</v>
      </c>
      <c r="M53" s="74">
        <f t="shared" si="22"/>
        <v>231732</v>
      </c>
      <c r="N53" s="74">
        <f t="shared" si="22"/>
        <v>231732</v>
      </c>
      <c r="O53" s="74">
        <f t="shared" si="22"/>
        <v>231732</v>
      </c>
      <c r="P53" s="74">
        <f t="shared" si="22"/>
        <v>231732</v>
      </c>
      <c r="Q53" s="74"/>
      <c r="R53" s="74"/>
      <c r="S53" s="74"/>
      <c r="T53" s="74"/>
      <c r="U53" s="74"/>
      <c r="V53" s="74"/>
    </row>
    <row r="54" spans="1:22" s="66" customFormat="1" ht="15">
      <c r="A54" s="88"/>
      <c r="B54" s="76" t="s">
        <v>19</v>
      </c>
      <c r="C54" s="77"/>
      <c r="D54" s="87"/>
      <c r="E54" s="71"/>
      <c r="F54" s="72"/>
      <c r="G54" s="73"/>
      <c r="H54" s="74">
        <v>945106</v>
      </c>
      <c r="I54" s="74">
        <v>259407</v>
      </c>
      <c r="J54" s="74">
        <v>259407</v>
      </c>
      <c r="K54" s="74">
        <v>121012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/>
      <c r="R54" s="74"/>
      <c r="S54" s="74"/>
      <c r="T54" s="74"/>
      <c r="U54" s="74"/>
      <c r="V54" s="74"/>
    </row>
    <row r="55" spans="1:22" s="66" customFormat="1" ht="15">
      <c r="A55" s="88"/>
      <c r="B55" s="76" t="s">
        <v>51</v>
      </c>
      <c r="C55" s="77"/>
      <c r="D55" s="87"/>
      <c r="E55" s="71"/>
      <c r="F55" s="72"/>
      <c r="G55" s="73"/>
      <c r="H55" s="74">
        <v>1301026</v>
      </c>
      <c r="I55" s="74">
        <v>0</v>
      </c>
      <c r="J55" s="74">
        <v>0</v>
      </c>
      <c r="K55" s="74">
        <v>142366</v>
      </c>
      <c r="L55" s="74">
        <v>231732</v>
      </c>
      <c r="M55" s="74">
        <v>231732</v>
      </c>
      <c r="N55" s="74">
        <v>231732</v>
      </c>
      <c r="O55" s="74">
        <v>231732</v>
      </c>
      <c r="P55" s="74">
        <v>231732</v>
      </c>
      <c r="Q55" s="74"/>
      <c r="R55" s="74"/>
      <c r="S55" s="74"/>
      <c r="T55" s="74"/>
      <c r="U55" s="74"/>
      <c r="V55" s="74"/>
    </row>
    <row r="56" spans="1:22" s="66" customFormat="1" ht="15">
      <c r="A56" s="88"/>
      <c r="B56" s="76" t="s">
        <v>20</v>
      </c>
      <c r="C56" s="77"/>
      <c r="D56" s="87"/>
      <c r="E56" s="71"/>
      <c r="F56" s="72"/>
      <c r="G56" s="73"/>
      <c r="H56" s="74">
        <v>166784</v>
      </c>
      <c r="I56" s="74">
        <v>45778</v>
      </c>
      <c r="J56" s="74">
        <v>45778</v>
      </c>
      <c r="K56" s="74">
        <v>21355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/>
      <c r="R56" s="74"/>
      <c r="S56" s="74"/>
      <c r="T56" s="74"/>
      <c r="U56" s="74"/>
      <c r="V56" s="74"/>
    </row>
    <row r="57" spans="1:22" s="66" customFormat="1" ht="15">
      <c r="A57" s="67" t="s">
        <v>11</v>
      </c>
      <c r="B57" s="68"/>
      <c r="C57" s="69"/>
      <c r="D57" s="89"/>
      <c r="E57" s="79"/>
      <c r="F57" s="80"/>
      <c r="G57" s="81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1:22" s="66" customFormat="1" ht="120">
      <c r="A58" s="84">
        <v>10</v>
      </c>
      <c r="B58" s="84" t="s">
        <v>52</v>
      </c>
      <c r="C58" s="84" t="s">
        <v>53</v>
      </c>
      <c r="D58" s="85" t="s">
        <v>47</v>
      </c>
      <c r="E58" s="61" t="s">
        <v>54</v>
      </c>
      <c r="F58" s="62"/>
      <c r="G58" s="63" t="s">
        <v>55</v>
      </c>
      <c r="H58" s="86">
        <f>SUM(H59,H62)</f>
        <v>70571394</v>
      </c>
      <c r="I58" s="86">
        <f t="shared" ref="I58:J58" si="23">SUM(I59,I62)</f>
        <v>10285000</v>
      </c>
      <c r="J58" s="86">
        <f t="shared" si="23"/>
        <v>60249000</v>
      </c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>
        <v>60249000</v>
      </c>
    </row>
    <row r="59" spans="1:22" s="66" customFormat="1" ht="15">
      <c r="A59" s="67" t="s">
        <v>50</v>
      </c>
      <c r="B59" s="68"/>
      <c r="C59" s="69"/>
      <c r="D59" s="87"/>
      <c r="E59" s="71"/>
      <c r="F59" s="72"/>
      <c r="G59" s="73"/>
      <c r="H59" s="74">
        <f>SUM(H60:H61)</f>
        <v>327394</v>
      </c>
      <c r="I59" s="74">
        <f>SUM(I60:I61)</f>
        <v>126000</v>
      </c>
      <c r="J59" s="74">
        <f>SUM(J60:J61)</f>
        <v>164000</v>
      </c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</row>
    <row r="60" spans="1:22" s="66" customFormat="1" ht="15">
      <c r="A60" s="88"/>
      <c r="B60" s="76" t="s">
        <v>19</v>
      </c>
      <c r="C60" s="77"/>
      <c r="D60" s="87"/>
      <c r="E60" s="71"/>
      <c r="F60" s="72"/>
      <c r="G60" s="73"/>
      <c r="H60" s="74">
        <v>274696</v>
      </c>
      <c r="I60" s="74">
        <v>107100</v>
      </c>
      <c r="J60" s="74">
        <v>139400</v>
      </c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22" s="66" customFormat="1" ht="15">
      <c r="A61" s="88"/>
      <c r="B61" s="76" t="s">
        <v>51</v>
      </c>
      <c r="C61" s="77"/>
      <c r="D61" s="87"/>
      <c r="E61" s="71"/>
      <c r="F61" s="72"/>
      <c r="G61" s="73"/>
      <c r="H61" s="74">
        <v>52698</v>
      </c>
      <c r="I61" s="74">
        <v>18900</v>
      </c>
      <c r="J61" s="74">
        <v>24600</v>
      </c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</row>
    <row r="62" spans="1:22" s="66" customFormat="1" ht="15">
      <c r="A62" s="67" t="s">
        <v>18</v>
      </c>
      <c r="B62" s="68"/>
      <c r="C62" s="69"/>
      <c r="D62" s="87"/>
      <c r="E62" s="71"/>
      <c r="F62" s="72"/>
      <c r="G62" s="73"/>
      <c r="H62" s="74">
        <f>SUM(H63:H65)</f>
        <v>70244000</v>
      </c>
      <c r="I62" s="74">
        <f>SUM(I63:I65)</f>
        <v>10159000</v>
      </c>
      <c r="J62" s="74">
        <f>SUM(J63:J65)</f>
        <v>60085000</v>
      </c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</row>
    <row r="63" spans="1:22" s="66" customFormat="1" ht="15">
      <c r="A63" s="88"/>
      <c r="B63" s="76" t="s">
        <v>19</v>
      </c>
      <c r="C63" s="77"/>
      <c r="D63" s="87"/>
      <c r="E63" s="71"/>
      <c r="F63" s="72"/>
      <c r="G63" s="73"/>
      <c r="H63" s="74">
        <v>59707400</v>
      </c>
      <c r="I63" s="74">
        <v>8635150</v>
      </c>
      <c r="J63" s="74">
        <v>51072250</v>
      </c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</row>
    <row r="64" spans="1:22" s="66" customFormat="1" ht="15">
      <c r="A64" s="88"/>
      <c r="B64" s="76" t="s">
        <v>51</v>
      </c>
      <c r="C64" s="77"/>
      <c r="D64" s="87"/>
      <c r="E64" s="71"/>
      <c r="F64" s="72"/>
      <c r="G64" s="73"/>
      <c r="H64" s="74">
        <v>3475874</v>
      </c>
      <c r="I64" s="74">
        <v>0</v>
      </c>
      <c r="J64" s="74">
        <v>3475874</v>
      </c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</row>
    <row r="65" spans="1:22" s="66" customFormat="1" ht="15">
      <c r="A65" s="88"/>
      <c r="B65" s="76" t="s">
        <v>56</v>
      </c>
      <c r="C65" s="77"/>
      <c r="D65" s="89"/>
      <c r="E65" s="79"/>
      <c r="F65" s="80"/>
      <c r="G65" s="81"/>
      <c r="H65" s="74">
        <v>7060726</v>
      </c>
      <c r="I65" s="74">
        <v>1523850</v>
      </c>
      <c r="J65" s="74">
        <v>5536876</v>
      </c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</row>
    <row r="66" spans="1:22" s="66" customFormat="1" ht="135">
      <c r="A66" s="84">
        <v>11</v>
      </c>
      <c r="B66" s="84" t="s">
        <v>57</v>
      </c>
      <c r="C66" s="84" t="s">
        <v>53</v>
      </c>
      <c r="D66" s="85" t="s">
        <v>47</v>
      </c>
      <c r="E66" s="61" t="s">
        <v>24</v>
      </c>
      <c r="F66" s="62"/>
      <c r="G66" s="63" t="s">
        <v>55</v>
      </c>
      <c r="H66" s="86">
        <f>SUM(H67,H69)</f>
        <v>18380000</v>
      </c>
      <c r="I66" s="86">
        <f t="shared" ref="I66:K66" si="24">SUM(I67,I69)</f>
        <v>205000</v>
      </c>
      <c r="J66" s="86">
        <f t="shared" si="24"/>
        <v>95000</v>
      </c>
      <c r="K66" s="86">
        <f t="shared" si="24"/>
        <v>18080000</v>
      </c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>
        <v>18175000</v>
      </c>
    </row>
    <row r="67" spans="1:22" s="66" customFormat="1" ht="15">
      <c r="A67" s="67" t="s">
        <v>50</v>
      </c>
      <c r="B67" s="68"/>
      <c r="C67" s="69"/>
      <c r="D67" s="87"/>
      <c r="E67" s="71"/>
      <c r="F67" s="72"/>
      <c r="G67" s="73"/>
      <c r="H67" s="74">
        <f>H68</f>
        <v>0</v>
      </c>
      <c r="I67" s="74">
        <f t="shared" ref="I67:K67" si="25">I68</f>
        <v>0</v>
      </c>
      <c r="J67" s="74">
        <f t="shared" si="25"/>
        <v>0</v>
      </c>
      <c r="K67" s="74">
        <f t="shared" si="25"/>
        <v>0</v>
      </c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</row>
    <row r="68" spans="1:22" s="66" customFormat="1" ht="15">
      <c r="A68" s="88"/>
      <c r="B68" s="76" t="s">
        <v>51</v>
      </c>
      <c r="C68" s="77"/>
      <c r="D68" s="87"/>
      <c r="E68" s="71"/>
      <c r="F68" s="72"/>
      <c r="G68" s="73"/>
      <c r="H68" s="74">
        <v>0</v>
      </c>
      <c r="I68" s="74"/>
      <c r="J68" s="74">
        <v>0</v>
      </c>
      <c r="K68" s="74">
        <v>0</v>
      </c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</row>
    <row r="69" spans="1:22" s="66" customFormat="1" ht="15">
      <c r="A69" s="67" t="s">
        <v>18</v>
      </c>
      <c r="B69" s="68"/>
      <c r="C69" s="69"/>
      <c r="D69" s="87"/>
      <c r="E69" s="71"/>
      <c r="F69" s="72"/>
      <c r="G69" s="73"/>
      <c r="H69" s="74">
        <f>SUM(H70:H73)</f>
        <v>18380000</v>
      </c>
      <c r="I69" s="74">
        <f t="shared" ref="I69:K69" si="26">SUM(I70:I73)</f>
        <v>205000</v>
      </c>
      <c r="J69" s="74">
        <f t="shared" si="26"/>
        <v>95000</v>
      </c>
      <c r="K69" s="74">
        <f t="shared" si="26"/>
        <v>18080000</v>
      </c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</row>
    <row r="70" spans="1:22" s="66" customFormat="1" ht="15">
      <c r="A70" s="88"/>
      <c r="B70" s="76" t="s">
        <v>19</v>
      </c>
      <c r="C70" s="77"/>
      <c r="D70" s="87"/>
      <c r="E70" s="71"/>
      <c r="F70" s="72"/>
      <c r="G70" s="73"/>
      <c r="H70" s="74">
        <v>7380000</v>
      </c>
      <c r="I70" s="74">
        <v>0</v>
      </c>
      <c r="J70" s="74">
        <v>0</v>
      </c>
      <c r="K70" s="74">
        <v>7380000</v>
      </c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</row>
    <row r="71" spans="1:22" s="66" customFormat="1" ht="15">
      <c r="A71" s="88"/>
      <c r="B71" s="76" t="s">
        <v>51</v>
      </c>
      <c r="C71" s="77"/>
      <c r="D71" s="87"/>
      <c r="E71" s="71"/>
      <c r="F71" s="72"/>
      <c r="G71" s="73"/>
      <c r="H71" s="74">
        <v>707630</v>
      </c>
      <c r="I71" s="74">
        <v>205000</v>
      </c>
      <c r="J71" s="74">
        <v>95000</v>
      </c>
      <c r="K71" s="74">
        <v>407630</v>
      </c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</row>
    <row r="72" spans="1:22" s="66" customFormat="1" ht="15">
      <c r="A72" s="88"/>
      <c r="B72" s="76" t="s">
        <v>20</v>
      </c>
      <c r="C72" s="77"/>
      <c r="D72" s="87"/>
      <c r="E72" s="71"/>
      <c r="F72" s="72"/>
      <c r="G72" s="73"/>
      <c r="H72" s="74">
        <v>6064970</v>
      </c>
      <c r="I72" s="74">
        <v>0</v>
      </c>
      <c r="J72" s="74">
        <v>0</v>
      </c>
      <c r="K72" s="74">
        <v>6064970</v>
      </c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</row>
    <row r="73" spans="1:22" s="66" customFormat="1" ht="15">
      <c r="A73" s="88"/>
      <c r="B73" s="76" t="s">
        <v>56</v>
      </c>
      <c r="C73" s="77"/>
      <c r="D73" s="89"/>
      <c r="E73" s="79"/>
      <c r="F73" s="80"/>
      <c r="G73" s="81"/>
      <c r="H73" s="74">
        <v>4227400</v>
      </c>
      <c r="I73" s="74">
        <v>0</v>
      </c>
      <c r="J73" s="74">
        <v>0</v>
      </c>
      <c r="K73" s="74">
        <v>4227400</v>
      </c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</row>
    <row r="74" spans="1:22" s="66" customFormat="1" ht="75.75" customHeight="1">
      <c r="A74" s="84">
        <v>12</v>
      </c>
      <c r="B74" s="84" t="s">
        <v>58</v>
      </c>
      <c r="C74" s="84" t="s">
        <v>59</v>
      </c>
      <c r="D74" s="85" t="s">
        <v>60</v>
      </c>
      <c r="E74" s="61" t="s">
        <v>54</v>
      </c>
      <c r="F74" s="62"/>
      <c r="G74" s="63" t="s">
        <v>61</v>
      </c>
      <c r="H74" s="86">
        <f>SUM(H75:H76)</f>
        <v>84644842</v>
      </c>
      <c r="I74" s="86">
        <f>SUM(I75:I76)</f>
        <v>21272910</v>
      </c>
      <c r="J74" s="86">
        <f>SUM(J75:J76)</f>
        <v>50634966</v>
      </c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>
        <v>50634966</v>
      </c>
    </row>
    <row r="75" spans="1:22" s="66" customFormat="1" ht="15">
      <c r="A75" s="67" t="s">
        <v>10</v>
      </c>
      <c r="B75" s="68"/>
      <c r="C75" s="69"/>
      <c r="D75" s="87"/>
      <c r="E75" s="71"/>
      <c r="F75" s="72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</row>
    <row r="76" spans="1:22" s="66" customFormat="1" ht="15">
      <c r="A76" s="67" t="s">
        <v>18</v>
      </c>
      <c r="B76" s="68"/>
      <c r="C76" s="69"/>
      <c r="D76" s="87"/>
      <c r="E76" s="71"/>
      <c r="F76" s="72"/>
      <c r="G76" s="73"/>
      <c r="H76" s="74">
        <f>SUM(H77:H79)</f>
        <v>84644842</v>
      </c>
      <c r="I76" s="74">
        <f t="shared" ref="I76:J76" si="27">SUM(I77:I79)</f>
        <v>21272910</v>
      </c>
      <c r="J76" s="74">
        <f t="shared" si="27"/>
        <v>50634966</v>
      </c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</row>
    <row r="77" spans="1:22" s="66" customFormat="1" ht="15">
      <c r="A77" s="88"/>
      <c r="B77" s="76" t="s">
        <v>19</v>
      </c>
      <c r="C77" s="77"/>
      <c r="D77" s="87"/>
      <c r="E77" s="71"/>
      <c r="F77" s="72"/>
      <c r="G77" s="73"/>
      <c r="H77" s="74">
        <v>41258512</v>
      </c>
      <c r="I77" s="74">
        <v>18081973</v>
      </c>
      <c r="J77" s="74">
        <v>12350119</v>
      </c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</row>
    <row r="78" spans="1:22" s="66" customFormat="1" ht="15">
      <c r="A78" s="88"/>
      <c r="B78" s="76" t="s">
        <v>51</v>
      </c>
      <c r="C78" s="77"/>
      <c r="D78" s="87"/>
      <c r="E78" s="71"/>
      <c r="F78" s="72"/>
      <c r="G78" s="73"/>
      <c r="H78" s="74">
        <v>6589851</v>
      </c>
      <c r="I78" s="74">
        <v>1352526</v>
      </c>
      <c r="J78" s="74">
        <v>3326779</v>
      </c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</row>
    <row r="79" spans="1:22" s="66" customFormat="1" ht="15">
      <c r="A79" s="88"/>
      <c r="B79" s="76" t="s">
        <v>20</v>
      </c>
      <c r="C79" s="77"/>
      <c r="D79" s="89"/>
      <c r="E79" s="79"/>
      <c r="F79" s="80"/>
      <c r="G79" s="81"/>
      <c r="H79" s="74">
        <v>36796479</v>
      </c>
      <c r="I79" s="74">
        <v>1838411</v>
      </c>
      <c r="J79" s="74">
        <v>34958068</v>
      </c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</row>
    <row r="80" spans="1:22" s="66" customFormat="1" ht="78" customHeight="1">
      <c r="A80" s="84">
        <v>13</v>
      </c>
      <c r="B80" s="84" t="s">
        <v>62</v>
      </c>
      <c r="C80" s="91" t="s">
        <v>63</v>
      </c>
      <c r="D80" s="85" t="s">
        <v>60</v>
      </c>
      <c r="E80" s="61" t="s">
        <v>54</v>
      </c>
      <c r="F80" s="62"/>
      <c r="G80" s="63" t="s">
        <v>61</v>
      </c>
      <c r="H80" s="86">
        <f>SUM(H81:H82)</f>
        <v>53370998</v>
      </c>
      <c r="I80" s="86">
        <f t="shared" ref="I80:J80" si="28">SUM(I81:I82)</f>
        <v>15600000</v>
      </c>
      <c r="J80" s="86">
        <f t="shared" si="28"/>
        <v>37770998</v>
      </c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>
        <v>37770998</v>
      </c>
    </row>
    <row r="81" spans="1:22" s="66" customFormat="1" ht="15">
      <c r="A81" s="67" t="s">
        <v>10</v>
      </c>
      <c r="B81" s="68"/>
      <c r="C81" s="69"/>
      <c r="D81" s="87"/>
      <c r="E81" s="71"/>
      <c r="F81" s="72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</row>
    <row r="82" spans="1:22" s="66" customFormat="1" ht="15">
      <c r="A82" s="67" t="s">
        <v>18</v>
      </c>
      <c r="B82" s="68"/>
      <c r="C82" s="69"/>
      <c r="D82" s="87"/>
      <c r="E82" s="71"/>
      <c r="F82" s="72"/>
      <c r="G82" s="73"/>
      <c r="H82" s="74">
        <f>SUM(H83:H85)</f>
        <v>53370998</v>
      </c>
      <c r="I82" s="74">
        <f t="shared" ref="I82:J82" si="29">SUM(I83:I85)</f>
        <v>15600000</v>
      </c>
      <c r="J82" s="74">
        <f t="shared" si="29"/>
        <v>37770998</v>
      </c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</row>
    <row r="83" spans="1:22" s="66" customFormat="1" ht="15">
      <c r="A83" s="88"/>
      <c r="B83" s="76" t="s">
        <v>19</v>
      </c>
      <c r="C83" s="77"/>
      <c r="D83" s="87"/>
      <c r="E83" s="71"/>
      <c r="F83" s="72"/>
      <c r="G83" s="73"/>
      <c r="H83" s="74">
        <v>30359106</v>
      </c>
      <c r="I83" s="74">
        <v>7800000</v>
      </c>
      <c r="J83" s="74">
        <v>22559106</v>
      </c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</row>
    <row r="84" spans="1:22" s="66" customFormat="1" ht="15">
      <c r="A84" s="88"/>
      <c r="B84" s="76" t="s">
        <v>51</v>
      </c>
      <c r="C84" s="77"/>
      <c r="D84" s="87"/>
      <c r="E84" s="71"/>
      <c r="F84" s="72"/>
      <c r="G84" s="73"/>
      <c r="H84" s="74">
        <v>3205993</v>
      </c>
      <c r="I84" s="74">
        <v>780000</v>
      </c>
      <c r="J84" s="74">
        <v>2425993</v>
      </c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</row>
    <row r="85" spans="1:22" s="66" customFormat="1" ht="15">
      <c r="A85" s="88"/>
      <c r="B85" s="76" t="s">
        <v>20</v>
      </c>
      <c r="C85" s="77"/>
      <c r="D85" s="89"/>
      <c r="E85" s="79"/>
      <c r="F85" s="80"/>
      <c r="G85" s="81"/>
      <c r="H85" s="74">
        <v>19805899</v>
      </c>
      <c r="I85" s="74">
        <v>7020000</v>
      </c>
      <c r="J85" s="74">
        <v>12785899</v>
      </c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</row>
    <row r="86" spans="1:22" ht="138.75" customHeight="1">
      <c r="A86" s="92">
        <v>14</v>
      </c>
      <c r="B86" s="92" t="s">
        <v>64</v>
      </c>
      <c r="C86" s="93" t="s">
        <v>63</v>
      </c>
      <c r="D86" s="94" t="s">
        <v>60</v>
      </c>
      <c r="E86" s="95" t="s">
        <v>65</v>
      </c>
      <c r="F86" s="96"/>
      <c r="G86" s="97" t="s">
        <v>61</v>
      </c>
      <c r="H86" s="98">
        <f>SUM(H87:H88)</f>
        <v>41859205</v>
      </c>
      <c r="I86" s="98">
        <f t="shared" ref="I86:K86" si="30">SUM(I87:I88)</f>
        <v>2400000</v>
      </c>
      <c r="J86" s="98">
        <f t="shared" si="30"/>
        <v>18000000</v>
      </c>
      <c r="K86" s="98">
        <f t="shared" si="30"/>
        <v>21159205</v>
      </c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>
        <v>39159205</v>
      </c>
    </row>
    <row r="87" spans="1:22" ht="15">
      <c r="A87" s="100" t="s">
        <v>10</v>
      </c>
      <c r="B87" s="101"/>
      <c r="C87" s="102"/>
      <c r="D87" s="103"/>
      <c r="E87" s="104"/>
      <c r="F87" s="105"/>
      <c r="G87" s="106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42"/>
    </row>
    <row r="88" spans="1:22" ht="15">
      <c r="A88" s="100" t="s">
        <v>18</v>
      </c>
      <c r="B88" s="101"/>
      <c r="C88" s="102"/>
      <c r="D88" s="103"/>
      <c r="E88" s="104"/>
      <c r="F88" s="105"/>
      <c r="G88" s="106"/>
      <c r="H88" s="23">
        <f>SUM(H89:H91)</f>
        <v>41859205</v>
      </c>
      <c r="I88" s="23">
        <f t="shared" ref="I88:K88" si="31">SUM(I89:I91)</f>
        <v>2400000</v>
      </c>
      <c r="J88" s="23">
        <f t="shared" si="31"/>
        <v>18000000</v>
      </c>
      <c r="K88" s="23">
        <f t="shared" si="31"/>
        <v>21159205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42"/>
    </row>
    <row r="89" spans="1:22" ht="15">
      <c r="A89" s="107"/>
      <c r="B89" s="108" t="s">
        <v>19</v>
      </c>
      <c r="C89" s="109"/>
      <c r="D89" s="103"/>
      <c r="E89" s="104"/>
      <c r="F89" s="105"/>
      <c r="G89" s="106"/>
      <c r="H89" s="23">
        <v>29865569</v>
      </c>
      <c r="I89" s="23">
        <v>1815603</v>
      </c>
      <c r="J89" s="23">
        <v>13617021</v>
      </c>
      <c r="K89" s="23">
        <v>14432945</v>
      </c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1"/>
    </row>
    <row r="90" spans="1:22" ht="15">
      <c r="A90" s="107"/>
      <c r="B90" s="108" t="s">
        <v>51</v>
      </c>
      <c r="C90" s="109"/>
      <c r="D90" s="103"/>
      <c r="E90" s="104"/>
      <c r="F90" s="105"/>
      <c r="G90" s="106"/>
      <c r="H90" s="23">
        <v>4527244</v>
      </c>
      <c r="I90" s="23">
        <v>130496</v>
      </c>
      <c r="J90" s="23">
        <v>978724</v>
      </c>
      <c r="K90" s="23">
        <v>3118024</v>
      </c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1"/>
    </row>
    <row r="91" spans="1:22" ht="15">
      <c r="A91" s="112"/>
      <c r="B91" s="113" t="s">
        <v>20</v>
      </c>
      <c r="C91" s="114"/>
      <c r="D91" s="115"/>
      <c r="E91" s="116"/>
      <c r="F91" s="117"/>
      <c r="G91" s="118"/>
      <c r="H91" s="23">
        <v>7466392</v>
      </c>
      <c r="I91" s="23">
        <v>453901</v>
      </c>
      <c r="J91" s="23">
        <v>3404255</v>
      </c>
      <c r="K91" s="23">
        <v>3608236</v>
      </c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1"/>
    </row>
    <row r="92" spans="1:22" s="66" customFormat="1" ht="75">
      <c r="A92" s="84">
        <v>15</v>
      </c>
      <c r="B92" s="84" t="s">
        <v>66</v>
      </c>
      <c r="C92" s="91" t="s">
        <v>67</v>
      </c>
      <c r="D92" s="85" t="s">
        <v>60</v>
      </c>
      <c r="E92" s="61" t="s">
        <v>44</v>
      </c>
      <c r="F92" s="62"/>
      <c r="G92" s="63" t="s">
        <v>61</v>
      </c>
      <c r="H92" s="86">
        <f>SUM(H93:H94)</f>
        <v>236800998</v>
      </c>
      <c r="I92" s="86">
        <f t="shared" ref="I92:J92" si="32">SUM(I93:I94)</f>
        <v>114300000</v>
      </c>
      <c r="J92" s="86">
        <f t="shared" si="32"/>
        <v>96328791</v>
      </c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>
        <v>96328791</v>
      </c>
    </row>
    <row r="93" spans="1:22" s="66" customFormat="1" ht="15">
      <c r="A93" s="119" t="s">
        <v>10</v>
      </c>
      <c r="B93" s="120"/>
      <c r="C93" s="121"/>
      <c r="D93" s="87"/>
      <c r="E93" s="71"/>
      <c r="F93" s="72"/>
      <c r="G93" s="73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</row>
    <row r="94" spans="1:22" s="66" customFormat="1" ht="15">
      <c r="A94" s="119" t="s">
        <v>18</v>
      </c>
      <c r="B94" s="120"/>
      <c r="C94" s="121"/>
      <c r="D94" s="87"/>
      <c r="E94" s="71"/>
      <c r="F94" s="72"/>
      <c r="G94" s="73"/>
      <c r="H94" s="74">
        <f>SUM(H95:H96)</f>
        <v>236800998</v>
      </c>
      <c r="I94" s="74">
        <f t="shared" ref="I94:J94" si="33">SUM(I95:I96)</f>
        <v>114300000</v>
      </c>
      <c r="J94" s="74">
        <f t="shared" si="33"/>
        <v>96328791</v>
      </c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</row>
    <row r="95" spans="1:22" s="66" customFormat="1" ht="15">
      <c r="A95" s="88"/>
      <c r="B95" s="122" t="s">
        <v>19</v>
      </c>
      <c r="C95" s="123"/>
      <c r="D95" s="87"/>
      <c r="E95" s="71"/>
      <c r="F95" s="72"/>
      <c r="G95" s="73"/>
      <c r="H95" s="74">
        <v>182585754</v>
      </c>
      <c r="I95" s="74">
        <v>88487021</v>
      </c>
      <c r="J95" s="74">
        <v>75232548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</row>
    <row r="96" spans="1:22" s="66" customFormat="1" ht="15">
      <c r="A96" s="88"/>
      <c r="B96" s="122" t="s">
        <v>51</v>
      </c>
      <c r="C96" s="123"/>
      <c r="D96" s="89"/>
      <c r="E96" s="79"/>
      <c r="F96" s="80"/>
      <c r="G96" s="81"/>
      <c r="H96" s="74">
        <v>54215244</v>
      </c>
      <c r="I96" s="74">
        <v>25812979</v>
      </c>
      <c r="J96" s="74">
        <v>21096243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</row>
    <row r="97" spans="1:22" s="66" customFormat="1" ht="153.75" customHeight="1">
      <c r="A97" s="84">
        <v>16</v>
      </c>
      <c r="B97" s="84" t="s">
        <v>68</v>
      </c>
      <c r="C97" s="91" t="s">
        <v>67</v>
      </c>
      <c r="D97" s="85" t="s">
        <v>60</v>
      </c>
      <c r="E97" s="61" t="s">
        <v>69</v>
      </c>
      <c r="F97" s="62"/>
      <c r="G97" s="63" t="s">
        <v>61</v>
      </c>
      <c r="H97" s="86">
        <f>SUM(H98:H99)</f>
        <v>300000000</v>
      </c>
      <c r="I97" s="86">
        <f t="shared" ref="I97:J97" si="34">SUM(I98:I99)</f>
        <v>133151201</v>
      </c>
      <c r="J97" s="86">
        <f t="shared" si="34"/>
        <v>151836858</v>
      </c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>
        <v>151836858</v>
      </c>
    </row>
    <row r="98" spans="1:22" s="66" customFormat="1" ht="15">
      <c r="A98" s="119" t="s">
        <v>10</v>
      </c>
      <c r="B98" s="120"/>
      <c r="C98" s="121"/>
      <c r="D98" s="87"/>
      <c r="E98" s="71"/>
      <c r="F98" s="72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</row>
    <row r="99" spans="1:22" s="66" customFormat="1" ht="15">
      <c r="A99" s="119" t="s">
        <v>18</v>
      </c>
      <c r="B99" s="120"/>
      <c r="C99" s="121"/>
      <c r="D99" s="87"/>
      <c r="E99" s="71"/>
      <c r="F99" s="72"/>
      <c r="G99" s="73"/>
      <c r="H99" s="74">
        <f>SUM(H100:H102)</f>
        <v>300000000</v>
      </c>
      <c r="I99" s="74">
        <f t="shared" ref="I99:J99" si="35">SUM(I100:I102)</f>
        <v>133151201</v>
      </c>
      <c r="J99" s="74">
        <f t="shared" si="35"/>
        <v>151836858</v>
      </c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</row>
    <row r="100" spans="1:22" s="66" customFormat="1" ht="15">
      <c r="A100" s="88"/>
      <c r="B100" s="122" t="s">
        <v>19</v>
      </c>
      <c r="C100" s="123"/>
      <c r="D100" s="87"/>
      <c r="E100" s="71"/>
      <c r="F100" s="72"/>
      <c r="G100" s="73"/>
      <c r="H100" s="74">
        <v>227303191</v>
      </c>
      <c r="I100" s="74">
        <v>100885643</v>
      </c>
      <c r="J100" s="74">
        <v>115180010</v>
      </c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</row>
    <row r="101" spans="1:22" s="66" customFormat="1" ht="15">
      <c r="A101" s="88"/>
      <c r="B101" s="122" t="s">
        <v>51</v>
      </c>
      <c r="C101" s="123"/>
      <c r="D101" s="87"/>
      <c r="E101" s="71"/>
      <c r="F101" s="72"/>
      <c r="G101" s="73"/>
      <c r="H101" s="74">
        <v>70696809</v>
      </c>
      <c r="I101" s="74">
        <v>32265558</v>
      </c>
      <c r="J101" s="74">
        <v>36656848</v>
      </c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</row>
    <row r="102" spans="1:22" s="66" customFormat="1" ht="15">
      <c r="A102" s="88"/>
      <c r="B102" s="76" t="s">
        <v>56</v>
      </c>
      <c r="C102" s="77"/>
      <c r="D102" s="89"/>
      <c r="E102" s="79"/>
      <c r="F102" s="80"/>
      <c r="G102" s="81"/>
      <c r="H102" s="74">
        <v>2000000</v>
      </c>
      <c r="I102" s="74"/>
      <c r="J102" s="7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</row>
    <row r="103" spans="1:22" s="66" customFormat="1" ht="153.75" customHeight="1">
      <c r="A103" s="84">
        <v>17</v>
      </c>
      <c r="B103" s="84" t="s">
        <v>70</v>
      </c>
      <c r="C103" s="91" t="s">
        <v>71</v>
      </c>
      <c r="D103" s="85" t="s">
        <v>60</v>
      </c>
      <c r="E103" s="61" t="s">
        <v>65</v>
      </c>
      <c r="F103" s="62"/>
      <c r="G103" s="63" t="s">
        <v>72</v>
      </c>
      <c r="H103" s="86">
        <f>SUM(H104:H105)</f>
        <v>65919923</v>
      </c>
      <c r="I103" s="86">
        <f t="shared" ref="I103:K103" si="36">SUM(I104:I105)</f>
        <v>28282789</v>
      </c>
      <c r="J103" s="86">
        <f t="shared" si="36"/>
        <v>25929251</v>
      </c>
      <c r="K103" s="86">
        <f t="shared" si="36"/>
        <v>11607883</v>
      </c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>
        <v>37537134</v>
      </c>
    </row>
    <row r="104" spans="1:22" s="66" customFormat="1" ht="15">
      <c r="A104" s="119" t="s">
        <v>10</v>
      </c>
      <c r="B104" s="120"/>
      <c r="C104" s="121"/>
      <c r="D104" s="87"/>
      <c r="E104" s="71"/>
      <c r="F104" s="72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</row>
    <row r="105" spans="1:22" s="66" customFormat="1" ht="15">
      <c r="A105" s="119" t="s">
        <v>18</v>
      </c>
      <c r="B105" s="120"/>
      <c r="C105" s="121"/>
      <c r="D105" s="87"/>
      <c r="E105" s="71"/>
      <c r="F105" s="72"/>
      <c r="G105" s="73"/>
      <c r="H105" s="74">
        <f>SUM(H106:H108)</f>
        <v>65919923</v>
      </c>
      <c r="I105" s="74">
        <f t="shared" ref="I105:K105" si="37">SUM(I106:I108)</f>
        <v>28282789</v>
      </c>
      <c r="J105" s="74">
        <f t="shared" si="37"/>
        <v>25929251</v>
      </c>
      <c r="K105" s="74">
        <f t="shared" si="37"/>
        <v>11607883</v>
      </c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</row>
    <row r="106" spans="1:22" s="66" customFormat="1" ht="15">
      <c r="A106" s="88"/>
      <c r="B106" s="122" t="s">
        <v>19</v>
      </c>
      <c r="C106" s="123"/>
      <c r="D106" s="87"/>
      <c r="E106" s="71"/>
      <c r="F106" s="72"/>
      <c r="G106" s="73"/>
      <c r="H106" s="74">
        <v>55757003</v>
      </c>
      <c r="I106" s="74">
        <v>28282789</v>
      </c>
      <c r="J106" s="74">
        <v>25929251</v>
      </c>
      <c r="K106" s="74">
        <v>1444963</v>
      </c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</row>
    <row r="107" spans="1:22" s="66" customFormat="1" ht="15">
      <c r="A107" s="88"/>
      <c r="B107" s="122" t="s">
        <v>51</v>
      </c>
      <c r="C107" s="123"/>
      <c r="D107" s="87"/>
      <c r="E107" s="71"/>
      <c r="F107" s="72"/>
      <c r="G107" s="73"/>
      <c r="H107" s="74">
        <v>3603272</v>
      </c>
      <c r="I107" s="74">
        <v>0</v>
      </c>
      <c r="J107" s="74">
        <v>0</v>
      </c>
      <c r="K107" s="74">
        <v>3603272</v>
      </c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</row>
    <row r="108" spans="1:22" s="66" customFormat="1" ht="15">
      <c r="A108" s="88"/>
      <c r="B108" s="125" t="s">
        <v>20</v>
      </c>
      <c r="C108" s="126"/>
      <c r="D108" s="89"/>
      <c r="E108" s="79"/>
      <c r="F108" s="80"/>
      <c r="G108" s="81"/>
      <c r="H108" s="74">
        <v>6559648</v>
      </c>
      <c r="I108" s="74">
        <v>0</v>
      </c>
      <c r="J108" s="74">
        <v>0</v>
      </c>
      <c r="K108" s="74">
        <v>6559648</v>
      </c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</row>
    <row r="109" spans="1:22" s="66" customFormat="1" ht="75">
      <c r="A109" s="84">
        <v>18</v>
      </c>
      <c r="B109" s="84" t="s">
        <v>73</v>
      </c>
      <c r="C109" s="84" t="s">
        <v>74</v>
      </c>
      <c r="D109" s="85" t="s">
        <v>47</v>
      </c>
      <c r="E109" s="61" t="s">
        <v>48</v>
      </c>
      <c r="F109" s="62"/>
      <c r="G109" s="63" t="s">
        <v>75</v>
      </c>
      <c r="H109" s="86">
        <f>SUM(H110,H112)</f>
        <v>311129907</v>
      </c>
      <c r="I109" s="86">
        <f t="shared" ref="I109:P109" si="38">SUM(I110,I112)</f>
        <v>74928895</v>
      </c>
      <c r="J109" s="86">
        <f t="shared" si="38"/>
        <v>147186532</v>
      </c>
      <c r="K109" s="86">
        <f t="shared" si="38"/>
        <v>74151727</v>
      </c>
      <c r="L109" s="86">
        <f t="shared" si="38"/>
        <v>2312631</v>
      </c>
      <c r="M109" s="86">
        <f t="shared" si="38"/>
        <v>1623847</v>
      </c>
      <c r="N109" s="86">
        <f t="shared" si="38"/>
        <v>1368759</v>
      </c>
      <c r="O109" s="86">
        <f t="shared" si="38"/>
        <v>3941190</v>
      </c>
      <c r="P109" s="86">
        <f t="shared" si="38"/>
        <v>3713374</v>
      </c>
      <c r="Q109" s="86"/>
      <c r="R109" s="86"/>
      <c r="S109" s="86"/>
      <c r="T109" s="86"/>
      <c r="U109" s="86"/>
      <c r="V109" s="86">
        <v>221338259</v>
      </c>
    </row>
    <row r="110" spans="1:22" s="66" customFormat="1" ht="15">
      <c r="A110" s="119" t="s">
        <v>50</v>
      </c>
      <c r="B110" s="120"/>
      <c r="C110" s="121"/>
      <c r="D110" s="87"/>
      <c r="E110" s="71"/>
      <c r="F110" s="72"/>
      <c r="G110" s="73"/>
      <c r="H110" s="74">
        <f>H111</f>
        <v>10749533</v>
      </c>
      <c r="I110" s="74">
        <f t="shared" ref="I110:P110" si="39">I111</f>
        <v>0</v>
      </c>
      <c r="J110" s="74">
        <f t="shared" si="39"/>
        <v>0</v>
      </c>
      <c r="K110" s="74">
        <f t="shared" si="39"/>
        <v>3442930</v>
      </c>
      <c r="L110" s="74">
        <f t="shared" si="39"/>
        <v>2312631</v>
      </c>
      <c r="M110" s="74">
        <f t="shared" si="39"/>
        <v>1623847</v>
      </c>
      <c r="N110" s="74">
        <f t="shared" si="39"/>
        <v>1368759</v>
      </c>
      <c r="O110" s="74">
        <f t="shared" si="39"/>
        <v>1114591</v>
      </c>
      <c r="P110" s="74">
        <f t="shared" si="39"/>
        <v>886775</v>
      </c>
      <c r="Q110" s="74"/>
      <c r="R110" s="74"/>
      <c r="S110" s="74"/>
      <c r="T110" s="74"/>
      <c r="U110" s="74"/>
      <c r="V110" s="74"/>
    </row>
    <row r="111" spans="1:22" s="66" customFormat="1" ht="15">
      <c r="A111" s="88"/>
      <c r="B111" s="76" t="s">
        <v>51</v>
      </c>
      <c r="C111" s="77"/>
      <c r="D111" s="87"/>
      <c r="E111" s="71"/>
      <c r="F111" s="72"/>
      <c r="G111" s="73"/>
      <c r="H111" s="74">
        <v>10749533</v>
      </c>
      <c r="I111" s="74"/>
      <c r="J111" s="74"/>
      <c r="K111" s="74">
        <v>3442930</v>
      </c>
      <c r="L111" s="74">
        <v>2312631</v>
      </c>
      <c r="M111" s="74">
        <v>1623847</v>
      </c>
      <c r="N111" s="74">
        <v>1368759</v>
      </c>
      <c r="O111" s="74">
        <v>1114591</v>
      </c>
      <c r="P111" s="74">
        <v>886775</v>
      </c>
      <c r="Q111" s="74"/>
      <c r="R111" s="74"/>
      <c r="S111" s="74"/>
      <c r="T111" s="74"/>
      <c r="U111" s="74"/>
      <c r="V111" s="74"/>
    </row>
    <row r="112" spans="1:22" s="66" customFormat="1" ht="15">
      <c r="A112" s="67" t="s">
        <v>18</v>
      </c>
      <c r="B112" s="68"/>
      <c r="C112" s="69"/>
      <c r="D112" s="87"/>
      <c r="E112" s="71"/>
      <c r="F112" s="72"/>
      <c r="G112" s="73"/>
      <c r="H112" s="74">
        <f>SUM(H113:H115)</f>
        <v>300380374</v>
      </c>
      <c r="I112" s="74">
        <f t="shared" ref="I112:P112" si="40">SUM(I113:I115)</f>
        <v>74928895</v>
      </c>
      <c r="J112" s="74">
        <f t="shared" si="40"/>
        <v>147186532</v>
      </c>
      <c r="K112" s="74">
        <f t="shared" si="40"/>
        <v>70708797</v>
      </c>
      <c r="L112" s="74">
        <f t="shared" si="40"/>
        <v>0</v>
      </c>
      <c r="M112" s="74">
        <f t="shared" si="40"/>
        <v>0</v>
      </c>
      <c r="N112" s="74">
        <f t="shared" si="40"/>
        <v>0</v>
      </c>
      <c r="O112" s="74">
        <f t="shared" si="40"/>
        <v>2826599</v>
      </c>
      <c r="P112" s="74">
        <f t="shared" si="40"/>
        <v>2826599</v>
      </c>
      <c r="Q112" s="74"/>
      <c r="R112" s="74"/>
      <c r="S112" s="74"/>
      <c r="T112" s="74"/>
      <c r="U112" s="74"/>
      <c r="V112" s="74"/>
    </row>
    <row r="113" spans="1:22" s="66" customFormat="1" ht="15">
      <c r="A113" s="88"/>
      <c r="B113" s="122" t="s">
        <v>19</v>
      </c>
      <c r="C113" s="123"/>
      <c r="D113" s="87"/>
      <c r="E113" s="71"/>
      <c r="F113" s="72"/>
      <c r="G113" s="73"/>
      <c r="H113" s="74">
        <v>204490344</v>
      </c>
      <c r="I113" s="74">
        <v>52028280</v>
      </c>
      <c r="J113" s="74">
        <v>101962419</v>
      </c>
      <c r="K113" s="74">
        <v>49049915</v>
      </c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</row>
    <row r="114" spans="1:22" s="66" customFormat="1" ht="15">
      <c r="A114" s="88"/>
      <c r="B114" s="122" t="s">
        <v>51</v>
      </c>
      <c r="C114" s="123"/>
      <c r="D114" s="87"/>
      <c r="E114" s="71"/>
      <c r="F114" s="72"/>
      <c r="G114" s="73"/>
      <c r="H114" s="74">
        <v>71832341</v>
      </c>
      <c r="I114" s="74">
        <v>16779641</v>
      </c>
      <c r="J114" s="74">
        <v>33228534</v>
      </c>
      <c r="K114" s="74">
        <v>15888304</v>
      </c>
      <c r="L114" s="74"/>
      <c r="M114" s="74"/>
      <c r="N114" s="74"/>
      <c r="O114" s="74">
        <v>2826599</v>
      </c>
      <c r="P114" s="74">
        <v>2826599</v>
      </c>
      <c r="Q114" s="74"/>
      <c r="R114" s="74"/>
      <c r="S114" s="74"/>
      <c r="T114" s="74"/>
      <c r="U114" s="74"/>
      <c r="V114" s="74"/>
    </row>
    <row r="115" spans="1:22" s="66" customFormat="1" ht="15">
      <c r="A115" s="88"/>
      <c r="B115" s="122" t="s">
        <v>20</v>
      </c>
      <c r="C115" s="123"/>
      <c r="D115" s="89"/>
      <c r="E115" s="79"/>
      <c r="F115" s="80"/>
      <c r="G115" s="81"/>
      <c r="H115" s="74">
        <v>24057689</v>
      </c>
      <c r="I115" s="74">
        <v>6120974</v>
      </c>
      <c r="J115" s="74">
        <v>11995579</v>
      </c>
      <c r="K115" s="74">
        <v>5770578</v>
      </c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</row>
    <row r="116" spans="1:22" s="66" customFormat="1" ht="75">
      <c r="A116" s="84">
        <v>19</v>
      </c>
      <c r="B116" s="59" t="s">
        <v>76</v>
      </c>
      <c r="C116" s="127" t="s">
        <v>77</v>
      </c>
      <c r="D116" s="85" t="s">
        <v>47</v>
      </c>
      <c r="E116" s="61" t="s">
        <v>78</v>
      </c>
      <c r="F116" s="62"/>
      <c r="G116" s="63" t="s">
        <v>75</v>
      </c>
      <c r="H116" s="86">
        <f>SUM(H117,H119)</f>
        <v>89505750</v>
      </c>
      <c r="I116" s="86">
        <f t="shared" ref="I116:N116" si="41">SUM(I117,I119)</f>
        <v>84246632</v>
      </c>
      <c r="J116" s="86">
        <f t="shared" si="41"/>
        <v>32600</v>
      </c>
      <c r="K116" s="86">
        <f t="shared" si="41"/>
        <v>32600</v>
      </c>
      <c r="L116" s="86">
        <f t="shared" si="41"/>
        <v>82600</v>
      </c>
      <c r="M116" s="86">
        <f t="shared" si="41"/>
        <v>82600</v>
      </c>
      <c r="N116" s="86">
        <f t="shared" si="41"/>
        <v>82600</v>
      </c>
      <c r="O116" s="86"/>
      <c r="P116" s="86"/>
      <c r="Q116" s="86"/>
      <c r="R116" s="86"/>
      <c r="S116" s="86"/>
      <c r="T116" s="86"/>
      <c r="U116" s="86"/>
      <c r="V116" s="86">
        <v>65200</v>
      </c>
    </row>
    <row r="117" spans="1:22" s="66" customFormat="1" ht="15">
      <c r="A117" s="119" t="s">
        <v>50</v>
      </c>
      <c r="B117" s="120"/>
      <c r="C117" s="121"/>
      <c r="D117" s="87"/>
      <c r="E117" s="71"/>
      <c r="F117" s="72"/>
      <c r="G117" s="73"/>
      <c r="H117" s="74">
        <f>H118</f>
        <v>335600</v>
      </c>
      <c r="I117" s="74">
        <f t="shared" ref="I117:N117" si="42">I118</f>
        <v>22600</v>
      </c>
      <c r="J117" s="74">
        <f t="shared" si="42"/>
        <v>32600</v>
      </c>
      <c r="K117" s="74">
        <f t="shared" si="42"/>
        <v>32600</v>
      </c>
      <c r="L117" s="74">
        <f t="shared" si="42"/>
        <v>82600</v>
      </c>
      <c r="M117" s="74">
        <f t="shared" si="42"/>
        <v>82600</v>
      </c>
      <c r="N117" s="74">
        <f t="shared" si="42"/>
        <v>82600</v>
      </c>
      <c r="O117" s="74"/>
      <c r="P117" s="74"/>
      <c r="Q117" s="74"/>
      <c r="R117" s="74"/>
      <c r="S117" s="74"/>
      <c r="T117" s="74"/>
      <c r="U117" s="74"/>
      <c r="V117" s="74"/>
    </row>
    <row r="118" spans="1:22" s="66" customFormat="1" ht="15">
      <c r="A118" s="88"/>
      <c r="B118" s="122" t="s">
        <v>51</v>
      </c>
      <c r="C118" s="123"/>
      <c r="D118" s="87"/>
      <c r="E118" s="71"/>
      <c r="F118" s="72"/>
      <c r="G118" s="73"/>
      <c r="H118" s="74">
        <v>335600</v>
      </c>
      <c r="I118" s="74">
        <v>22600</v>
      </c>
      <c r="J118" s="74">
        <v>32600</v>
      </c>
      <c r="K118" s="74">
        <v>32600</v>
      </c>
      <c r="L118" s="74">
        <v>82600</v>
      </c>
      <c r="M118" s="74">
        <v>82600</v>
      </c>
      <c r="N118" s="74">
        <v>82600</v>
      </c>
      <c r="O118" s="74"/>
      <c r="P118" s="74"/>
      <c r="Q118" s="74"/>
      <c r="R118" s="74"/>
      <c r="S118" s="74"/>
      <c r="T118" s="74"/>
      <c r="U118" s="74"/>
      <c r="V118" s="74"/>
    </row>
    <row r="119" spans="1:22" s="66" customFormat="1" ht="15">
      <c r="A119" s="119" t="s">
        <v>18</v>
      </c>
      <c r="B119" s="120"/>
      <c r="C119" s="121"/>
      <c r="D119" s="87"/>
      <c r="E119" s="71"/>
      <c r="F119" s="72"/>
      <c r="G119" s="73"/>
      <c r="H119" s="74">
        <f>SUM(H120:H121)</f>
        <v>89170150</v>
      </c>
      <c r="I119" s="74">
        <f t="shared" ref="I119" si="43">SUM(I120:I121)</f>
        <v>84224032</v>
      </c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</row>
    <row r="120" spans="1:22" s="66" customFormat="1" ht="15">
      <c r="A120" s="88"/>
      <c r="B120" s="122" t="s">
        <v>19</v>
      </c>
      <c r="C120" s="123"/>
      <c r="D120" s="87"/>
      <c r="E120" s="71"/>
      <c r="F120" s="72"/>
      <c r="G120" s="73"/>
      <c r="H120" s="74">
        <v>88467345</v>
      </c>
      <c r="I120" s="74">
        <v>83662014</v>
      </c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</row>
    <row r="121" spans="1:22" s="66" customFormat="1" ht="15">
      <c r="A121" s="88"/>
      <c r="B121" s="122" t="s">
        <v>51</v>
      </c>
      <c r="C121" s="123"/>
      <c r="D121" s="89"/>
      <c r="E121" s="79"/>
      <c r="F121" s="80"/>
      <c r="G121" s="81"/>
      <c r="H121" s="74">
        <v>702805</v>
      </c>
      <c r="I121" s="74">
        <v>562018</v>
      </c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</row>
    <row r="122" spans="1:22" s="66" customFormat="1" ht="90">
      <c r="A122" s="84">
        <v>20</v>
      </c>
      <c r="B122" s="84" t="s">
        <v>79</v>
      </c>
      <c r="C122" s="91" t="s">
        <v>80</v>
      </c>
      <c r="D122" s="85" t="s">
        <v>47</v>
      </c>
      <c r="E122" s="61" t="s">
        <v>78</v>
      </c>
      <c r="F122" s="62"/>
      <c r="G122" s="63" t="s">
        <v>75</v>
      </c>
      <c r="H122" s="86">
        <f>SUM(H123,H125)</f>
        <v>58181754</v>
      </c>
      <c r="I122" s="86">
        <f t="shared" ref="I122:N122" si="44">SUM(I123,I125)</f>
        <v>57514408</v>
      </c>
      <c r="J122" s="86">
        <f t="shared" si="44"/>
        <v>82340</v>
      </c>
      <c r="K122" s="86">
        <f t="shared" si="44"/>
        <v>82340</v>
      </c>
      <c r="L122" s="86">
        <f t="shared" si="44"/>
        <v>82340</v>
      </c>
      <c r="M122" s="86">
        <f t="shared" si="44"/>
        <v>82340</v>
      </c>
      <c r="N122" s="86">
        <f t="shared" si="44"/>
        <v>82340</v>
      </c>
      <c r="O122" s="86"/>
      <c r="P122" s="86"/>
      <c r="Q122" s="86"/>
      <c r="R122" s="86"/>
      <c r="S122" s="86"/>
      <c r="T122" s="86"/>
      <c r="U122" s="86"/>
      <c r="V122" s="86">
        <v>164680</v>
      </c>
    </row>
    <row r="123" spans="1:22" s="66" customFormat="1" ht="15">
      <c r="A123" s="67" t="s">
        <v>50</v>
      </c>
      <c r="B123" s="68"/>
      <c r="C123" s="69"/>
      <c r="D123" s="87"/>
      <c r="E123" s="71"/>
      <c r="F123" s="72"/>
      <c r="G123" s="73"/>
      <c r="H123" s="74">
        <f>H124</f>
        <v>411700</v>
      </c>
      <c r="I123" s="74"/>
      <c r="J123" s="74">
        <f>J124</f>
        <v>82340</v>
      </c>
      <c r="K123" s="74">
        <f t="shared" ref="K123:N123" si="45">K124</f>
        <v>82340</v>
      </c>
      <c r="L123" s="74">
        <f t="shared" si="45"/>
        <v>82340</v>
      </c>
      <c r="M123" s="74">
        <f t="shared" si="45"/>
        <v>82340</v>
      </c>
      <c r="N123" s="74">
        <f t="shared" si="45"/>
        <v>82340</v>
      </c>
      <c r="O123" s="74"/>
      <c r="P123" s="74"/>
      <c r="Q123" s="74"/>
      <c r="R123" s="74"/>
      <c r="S123" s="74"/>
      <c r="T123" s="74"/>
      <c r="U123" s="74"/>
      <c r="V123" s="74"/>
    </row>
    <row r="124" spans="1:22" s="66" customFormat="1" ht="15">
      <c r="A124" s="88"/>
      <c r="B124" s="122" t="s">
        <v>51</v>
      </c>
      <c r="C124" s="123"/>
      <c r="D124" s="87"/>
      <c r="E124" s="71"/>
      <c r="F124" s="72"/>
      <c r="G124" s="73"/>
      <c r="H124" s="74">
        <v>411700</v>
      </c>
      <c r="I124" s="74"/>
      <c r="J124" s="74">
        <v>82340</v>
      </c>
      <c r="K124" s="74">
        <v>82340</v>
      </c>
      <c r="L124" s="74">
        <v>82340</v>
      </c>
      <c r="M124" s="74">
        <v>82340</v>
      </c>
      <c r="N124" s="74">
        <v>82340</v>
      </c>
      <c r="O124" s="74"/>
      <c r="P124" s="74"/>
      <c r="Q124" s="74"/>
      <c r="R124" s="74"/>
      <c r="S124" s="74"/>
      <c r="T124" s="74"/>
      <c r="U124" s="74"/>
      <c r="V124" s="74"/>
    </row>
    <row r="125" spans="1:22" s="66" customFormat="1" ht="15">
      <c r="A125" s="119" t="s">
        <v>18</v>
      </c>
      <c r="B125" s="120"/>
      <c r="C125" s="121"/>
      <c r="D125" s="87"/>
      <c r="E125" s="71"/>
      <c r="F125" s="72"/>
      <c r="G125" s="73"/>
      <c r="H125" s="74">
        <f>SUM(H126:H128)</f>
        <v>57770054</v>
      </c>
      <c r="I125" s="74">
        <f t="shared" ref="I125" si="46">SUM(I126:I128)</f>
        <v>57514408</v>
      </c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</row>
    <row r="126" spans="1:22" s="66" customFormat="1" ht="15">
      <c r="A126" s="88"/>
      <c r="B126" s="122" t="s">
        <v>19</v>
      </c>
      <c r="C126" s="123"/>
      <c r="D126" s="87"/>
      <c r="E126" s="71"/>
      <c r="F126" s="72"/>
      <c r="G126" s="73"/>
      <c r="H126" s="74">
        <v>48994087</v>
      </c>
      <c r="I126" s="74">
        <v>48887246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</row>
    <row r="127" spans="1:22" s="66" customFormat="1" ht="15">
      <c r="A127" s="88"/>
      <c r="B127" s="122" t="s">
        <v>51</v>
      </c>
      <c r="C127" s="123"/>
      <c r="D127" s="87"/>
      <c r="E127" s="71"/>
      <c r="F127" s="72"/>
      <c r="G127" s="73"/>
      <c r="H127" s="74">
        <v>3011956</v>
      </c>
      <c r="I127" s="74">
        <v>2875721</v>
      </c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</row>
    <row r="128" spans="1:22" s="66" customFormat="1" ht="15">
      <c r="A128" s="88"/>
      <c r="B128" s="122" t="s">
        <v>20</v>
      </c>
      <c r="C128" s="123"/>
      <c r="D128" s="89"/>
      <c r="E128" s="79"/>
      <c r="F128" s="80"/>
      <c r="G128" s="81"/>
      <c r="H128" s="74">
        <v>5764011</v>
      </c>
      <c r="I128" s="74">
        <v>5751441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</row>
    <row r="129" spans="1:22" s="66" customFormat="1" ht="180">
      <c r="A129" s="84">
        <v>21</v>
      </c>
      <c r="B129" s="84" t="s">
        <v>81</v>
      </c>
      <c r="C129" s="128" t="s">
        <v>82</v>
      </c>
      <c r="D129" s="85" t="s">
        <v>83</v>
      </c>
      <c r="E129" s="61" t="s">
        <v>84</v>
      </c>
      <c r="F129" s="62"/>
      <c r="G129" s="63" t="s">
        <v>85</v>
      </c>
      <c r="H129" s="86">
        <f>SUM(H130,H133)</f>
        <v>6202745</v>
      </c>
      <c r="I129" s="86">
        <f t="shared" ref="I129:K129" si="47">SUM(I130,I133)</f>
        <v>992623</v>
      </c>
      <c r="J129" s="86">
        <f t="shared" si="47"/>
        <v>1021762</v>
      </c>
      <c r="K129" s="86">
        <f t="shared" si="47"/>
        <v>542869</v>
      </c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>
        <v>1564631</v>
      </c>
    </row>
    <row r="130" spans="1:22" s="66" customFormat="1" ht="15">
      <c r="A130" s="119" t="s">
        <v>50</v>
      </c>
      <c r="B130" s="120"/>
      <c r="C130" s="121"/>
      <c r="D130" s="87"/>
      <c r="E130" s="71"/>
      <c r="F130" s="72"/>
      <c r="G130" s="73"/>
      <c r="H130" s="74">
        <f>SUM(H131:H132)</f>
        <v>6135672</v>
      </c>
      <c r="I130" s="74">
        <f t="shared" ref="I130:K130" si="48">SUM(I131:I132)</f>
        <v>992623</v>
      </c>
      <c r="J130" s="74">
        <f t="shared" si="48"/>
        <v>1021762</v>
      </c>
      <c r="K130" s="74">
        <f t="shared" si="48"/>
        <v>542869</v>
      </c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</row>
    <row r="131" spans="1:22" s="66" customFormat="1" ht="15">
      <c r="A131" s="88"/>
      <c r="B131" s="122" t="s">
        <v>19</v>
      </c>
      <c r="C131" s="123"/>
      <c r="D131" s="87"/>
      <c r="E131" s="71"/>
      <c r="F131" s="72"/>
      <c r="G131" s="73"/>
      <c r="H131" s="74">
        <v>5215322</v>
      </c>
      <c r="I131" s="74">
        <v>843730</v>
      </c>
      <c r="J131" s="74">
        <v>868498</v>
      </c>
      <c r="K131" s="74">
        <v>461439</v>
      </c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</row>
    <row r="132" spans="1:22" s="66" customFormat="1" ht="15">
      <c r="A132" s="88"/>
      <c r="B132" s="122" t="s">
        <v>20</v>
      </c>
      <c r="C132" s="123"/>
      <c r="D132" s="87"/>
      <c r="E132" s="71"/>
      <c r="F132" s="72"/>
      <c r="G132" s="73"/>
      <c r="H132" s="74">
        <v>920350</v>
      </c>
      <c r="I132" s="82">
        <v>148893</v>
      </c>
      <c r="J132" s="129">
        <v>153264</v>
      </c>
      <c r="K132" s="83">
        <v>81430</v>
      </c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</row>
    <row r="133" spans="1:22" s="66" customFormat="1" ht="15">
      <c r="A133" s="119" t="s">
        <v>18</v>
      </c>
      <c r="B133" s="120"/>
      <c r="C133" s="121"/>
      <c r="D133" s="87"/>
      <c r="E133" s="71"/>
      <c r="F133" s="72"/>
      <c r="G133" s="73"/>
      <c r="H133" s="74">
        <f>SUM(H134:H135)</f>
        <v>67073</v>
      </c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</row>
    <row r="134" spans="1:22" s="66" customFormat="1" ht="15">
      <c r="A134" s="88"/>
      <c r="B134" s="122" t="s">
        <v>19</v>
      </c>
      <c r="C134" s="123"/>
      <c r="D134" s="87"/>
      <c r="E134" s="71"/>
      <c r="F134" s="72"/>
      <c r="G134" s="73"/>
      <c r="H134" s="74">
        <v>57012</v>
      </c>
      <c r="I134" s="82"/>
      <c r="J134" s="129"/>
      <c r="K134" s="83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</row>
    <row r="135" spans="1:22" s="66" customFormat="1" ht="15">
      <c r="A135" s="88"/>
      <c r="B135" s="122" t="s">
        <v>20</v>
      </c>
      <c r="C135" s="123"/>
      <c r="D135" s="89"/>
      <c r="E135" s="79"/>
      <c r="F135" s="80"/>
      <c r="G135" s="81"/>
      <c r="H135" s="74">
        <v>10061</v>
      </c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</row>
    <row r="136" spans="1:22" s="66" customFormat="1" ht="121.5" customHeight="1">
      <c r="A136" s="84">
        <v>22</v>
      </c>
      <c r="B136" s="84" t="s">
        <v>86</v>
      </c>
      <c r="C136" s="84" t="s">
        <v>87</v>
      </c>
      <c r="D136" s="85" t="s">
        <v>47</v>
      </c>
      <c r="E136" s="61" t="s">
        <v>24</v>
      </c>
      <c r="F136" s="62"/>
      <c r="G136" s="130" t="s">
        <v>88</v>
      </c>
      <c r="H136" s="86">
        <f>SUM(H137:H138)</f>
        <v>99000000</v>
      </c>
      <c r="I136" s="86">
        <f t="shared" ref="I136:K136" si="49">SUM(I137:I138)</f>
        <v>20180000</v>
      </c>
      <c r="J136" s="86">
        <f t="shared" si="49"/>
        <v>32770000</v>
      </c>
      <c r="K136" s="86">
        <f t="shared" si="49"/>
        <v>42950000</v>
      </c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>
        <v>27320000</v>
      </c>
    </row>
    <row r="137" spans="1:22" s="66" customFormat="1" ht="15">
      <c r="A137" s="67" t="s">
        <v>10</v>
      </c>
      <c r="B137" s="68"/>
      <c r="C137" s="69"/>
      <c r="D137" s="87"/>
      <c r="E137" s="71"/>
      <c r="F137" s="72"/>
      <c r="G137" s="73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</row>
    <row r="138" spans="1:22" s="66" customFormat="1" ht="15">
      <c r="A138" s="67" t="s">
        <v>18</v>
      </c>
      <c r="B138" s="68"/>
      <c r="C138" s="69"/>
      <c r="D138" s="87"/>
      <c r="E138" s="71"/>
      <c r="F138" s="72"/>
      <c r="G138" s="73"/>
      <c r="H138" s="74">
        <f>SUM(H139:H140)</f>
        <v>99000000</v>
      </c>
      <c r="I138" s="74">
        <f t="shared" ref="I138:K138" si="50">SUM(I139:I140)</f>
        <v>20180000</v>
      </c>
      <c r="J138" s="74">
        <f t="shared" si="50"/>
        <v>32770000</v>
      </c>
      <c r="K138" s="74">
        <f t="shared" si="50"/>
        <v>42950000</v>
      </c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</row>
    <row r="139" spans="1:22" s="66" customFormat="1" ht="15">
      <c r="A139" s="88"/>
      <c r="B139" s="76" t="s">
        <v>19</v>
      </c>
      <c r="C139" s="77"/>
      <c r="D139" s="87"/>
      <c r="E139" s="71"/>
      <c r="F139" s="72"/>
      <c r="G139" s="73"/>
      <c r="H139" s="74">
        <f>SUM(I139:K139)</f>
        <v>30000000</v>
      </c>
      <c r="I139" s="74">
        <v>7000000</v>
      </c>
      <c r="J139" s="74">
        <v>13000000</v>
      </c>
      <c r="K139" s="74">
        <v>10000000</v>
      </c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</row>
    <row r="140" spans="1:22" s="66" customFormat="1" ht="15">
      <c r="A140" s="88"/>
      <c r="B140" s="76" t="s">
        <v>51</v>
      </c>
      <c r="C140" s="77"/>
      <c r="D140" s="89"/>
      <c r="E140" s="79"/>
      <c r="F140" s="80"/>
      <c r="G140" s="81"/>
      <c r="H140" s="74">
        <v>69000000</v>
      </c>
      <c r="I140" s="74">
        <f>7000000+6180000</f>
        <v>13180000</v>
      </c>
      <c r="J140" s="74">
        <f>13000000+6770000</f>
        <v>19770000</v>
      </c>
      <c r="K140" s="74">
        <f>12400000+20550000</f>
        <v>32950000</v>
      </c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</row>
    <row r="141" spans="1:22" s="66" customFormat="1" ht="151.5" customHeight="1">
      <c r="A141" s="84">
        <v>23</v>
      </c>
      <c r="B141" s="84" t="s">
        <v>89</v>
      </c>
      <c r="C141" s="84" t="s">
        <v>90</v>
      </c>
      <c r="D141" s="85" t="s">
        <v>47</v>
      </c>
      <c r="E141" s="61" t="s">
        <v>69</v>
      </c>
      <c r="F141" s="62"/>
      <c r="G141" s="130" t="s">
        <v>88</v>
      </c>
      <c r="H141" s="86">
        <f>SUM(H142,H145)</f>
        <v>508443</v>
      </c>
      <c r="I141" s="86">
        <f t="shared" ref="I141:J141" si="51">SUM(I142,I145)</f>
        <v>164981</v>
      </c>
      <c r="J141" s="86">
        <f t="shared" si="51"/>
        <v>183981</v>
      </c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>
        <v>183981</v>
      </c>
    </row>
    <row r="142" spans="1:22" s="66" customFormat="1" ht="15">
      <c r="A142" s="67" t="s">
        <v>50</v>
      </c>
      <c r="B142" s="68"/>
      <c r="C142" s="69"/>
      <c r="D142" s="87"/>
      <c r="E142" s="71"/>
      <c r="F142" s="72"/>
      <c r="G142" s="73"/>
      <c r="H142" s="74">
        <f>SUM(H143:H144)</f>
        <v>508443</v>
      </c>
      <c r="I142" s="74">
        <f t="shared" ref="I142:J142" si="52">SUM(I143:I144)</f>
        <v>164981</v>
      </c>
      <c r="J142" s="74">
        <f t="shared" si="52"/>
        <v>183981</v>
      </c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</row>
    <row r="143" spans="1:22" s="66" customFormat="1" ht="15" customHeight="1">
      <c r="A143" s="131"/>
      <c r="B143" s="125" t="s">
        <v>19</v>
      </c>
      <c r="C143" s="132"/>
      <c r="D143" s="87"/>
      <c r="E143" s="71"/>
      <c r="F143" s="72"/>
      <c r="G143" s="73"/>
      <c r="H143" s="74">
        <v>432177</v>
      </c>
      <c r="I143" s="74">
        <v>140234</v>
      </c>
      <c r="J143" s="74">
        <v>156384</v>
      </c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</row>
    <row r="144" spans="1:22" s="66" customFormat="1" ht="15">
      <c r="A144" s="88"/>
      <c r="B144" s="76" t="s">
        <v>51</v>
      </c>
      <c r="C144" s="77"/>
      <c r="D144" s="87"/>
      <c r="E144" s="71"/>
      <c r="F144" s="72"/>
      <c r="G144" s="73"/>
      <c r="H144" s="74">
        <v>76266</v>
      </c>
      <c r="I144" s="74">
        <v>24747</v>
      </c>
      <c r="J144" s="74">
        <v>27597</v>
      </c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</row>
    <row r="145" spans="1:22" s="66" customFormat="1" ht="15">
      <c r="A145" s="67" t="s">
        <v>11</v>
      </c>
      <c r="B145" s="68"/>
      <c r="C145" s="69"/>
      <c r="D145" s="87"/>
      <c r="E145" s="71"/>
      <c r="F145" s="72"/>
      <c r="G145" s="73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</row>
    <row r="146" spans="1:22" s="66" customFormat="1" ht="151.5" customHeight="1">
      <c r="A146" s="84">
        <v>24</v>
      </c>
      <c r="B146" s="84" t="s">
        <v>91</v>
      </c>
      <c r="C146" s="84" t="s">
        <v>92</v>
      </c>
      <c r="D146" s="85" t="s">
        <v>47</v>
      </c>
      <c r="E146" s="61" t="s">
        <v>69</v>
      </c>
      <c r="F146" s="62"/>
      <c r="G146" s="130" t="s">
        <v>88</v>
      </c>
      <c r="H146" s="86">
        <f>SUM(H147,H150)</f>
        <v>512035</v>
      </c>
      <c r="I146" s="86">
        <f t="shared" ref="I146:J146" si="53">SUM(I147,I150)</f>
        <v>210093</v>
      </c>
      <c r="J146" s="86">
        <f t="shared" si="53"/>
        <v>133242</v>
      </c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>
        <v>133242</v>
      </c>
    </row>
    <row r="147" spans="1:22" s="66" customFormat="1" ht="15">
      <c r="A147" s="67" t="s">
        <v>50</v>
      </c>
      <c r="B147" s="68"/>
      <c r="C147" s="69"/>
      <c r="D147" s="87"/>
      <c r="E147" s="71"/>
      <c r="F147" s="72"/>
      <c r="G147" s="73"/>
      <c r="H147" s="74">
        <f>SUM(H148:H149)</f>
        <v>512035</v>
      </c>
      <c r="I147" s="74">
        <f t="shared" ref="I147:J147" si="54">SUM(I148:I149)</f>
        <v>210093</v>
      </c>
      <c r="J147" s="74">
        <f t="shared" si="54"/>
        <v>133242</v>
      </c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</row>
    <row r="148" spans="1:22" s="66" customFormat="1" ht="15" customHeight="1">
      <c r="A148" s="131"/>
      <c r="B148" s="125" t="s">
        <v>19</v>
      </c>
      <c r="C148" s="132"/>
      <c r="D148" s="87"/>
      <c r="E148" s="71"/>
      <c r="F148" s="72"/>
      <c r="G148" s="73"/>
      <c r="H148" s="74">
        <v>435231</v>
      </c>
      <c r="I148" s="74">
        <v>178580</v>
      </c>
      <c r="J148" s="74">
        <v>113256</v>
      </c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</row>
    <row r="149" spans="1:22" s="66" customFormat="1" ht="15">
      <c r="A149" s="88"/>
      <c r="B149" s="76" t="s">
        <v>51</v>
      </c>
      <c r="C149" s="77"/>
      <c r="D149" s="87"/>
      <c r="E149" s="71"/>
      <c r="F149" s="72"/>
      <c r="G149" s="73"/>
      <c r="H149" s="74">
        <v>76804</v>
      </c>
      <c r="I149" s="74">
        <v>31513</v>
      </c>
      <c r="J149" s="74">
        <v>19986</v>
      </c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</row>
    <row r="150" spans="1:22" s="66" customFormat="1" ht="15">
      <c r="A150" s="67" t="s">
        <v>11</v>
      </c>
      <c r="B150" s="68"/>
      <c r="C150" s="69"/>
      <c r="D150" s="87"/>
      <c r="E150" s="71"/>
      <c r="F150" s="72"/>
      <c r="G150" s="73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</row>
    <row r="151" spans="1:22" s="66" customFormat="1" ht="195">
      <c r="A151" s="84">
        <v>25</v>
      </c>
      <c r="B151" s="59" t="s">
        <v>93</v>
      </c>
      <c r="C151" s="127" t="s">
        <v>94</v>
      </c>
      <c r="D151" s="85" t="s">
        <v>95</v>
      </c>
      <c r="E151" s="61" t="s">
        <v>54</v>
      </c>
      <c r="F151" s="62"/>
      <c r="G151" s="63" t="s">
        <v>96</v>
      </c>
      <c r="H151" s="86">
        <f>SUM(H152,H154)</f>
        <v>9350000</v>
      </c>
      <c r="I151" s="86">
        <f t="shared" ref="I151:J151" si="55">SUM(I152,I154)</f>
        <v>3222610</v>
      </c>
      <c r="J151" s="86">
        <f t="shared" si="55"/>
        <v>2518935</v>
      </c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65">
        <v>1716751</v>
      </c>
    </row>
    <row r="152" spans="1:22" s="66" customFormat="1" ht="15">
      <c r="A152" s="119" t="s">
        <v>50</v>
      </c>
      <c r="B152" s="120"/>
      <c r="C152" s="121"/>
      <c r="D152" s="87"/>
      <c r="E152" s="71"/>
      <c r="F152" s="72"/>
      <c r="G152" s="73"/>
      <c r="H152" s="74">
        <f>H153</f>
        <v>8966426</v>
      </c>
      <c r="I152" s="74">
        <f t="shared" ref="I152:J152" si="56">I153</f>
        <v>3222610</v>
      </c>
      <c r="J152" s="74">
        <f t="shared" si="56"/>
        <v>2518935</v>
      </c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65"/>
    </row>
    <row r="153" spans="1:22" s="66" customFormat="1" ht="15">
      <c r="A153" s="88"/>
      <c r="B153" s="122" t="s">
        <v>19</v>
      </c>
      <c r="C153" s="123"/>
      <c r="D153" s="87"/>
      <c r="E153" s="71"/>
      <c r="F153" s="72"/>
      <c r="G153" s="73"/>
      <c r="H153" s="74">
        <v>8966426</v>
      </c>
      <c r="I153" s="74">
        <v>3222610</v>
      </c>
      <c r="J153" s="74">
        <v>2518935</v>
      </c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65"/>
    </row>
    <row r="154" spans="1:22" s="66" customFormat="1" ht="15">
      <c r="A154" s="119" t="s">
        <v>18</v>
      </c>
      <c r="B154" s="120"/>
      <c r="C154" s="121"/>
      <c r="D154" s="87"/>
      <c r="E154" s="71"/>
      <c r="F154" s="72"/>
      <c r="G154" s="73"/>
      <c r="H154" s="74">
        <f>H155</f>
        <v>383574</v>
      </c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65"/>
    </row>
    <row r="155" spans="1:22" s="66" customFormat="1" ht="15">
      <c r="A155" s="88"/>
      <c r="B155" s="122" t="s">
        <v>19</v>
      </c>
      <c r="C155" s="123"/>
      <c r="D155" s="89"/>
      <c r="E155" s="79"/>
      <c r="F155" s="80"/>
      <c r="G155" s="81"/>
      <c r="H155" s="74">
        <v>383574</v>
      </c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65"/>
    </row>
    <row r="156" spans="1:22" s="66" customFormat="1" ht="150">
      <c r="A156" s="84">
        <v>26</v>
      </c>
      <c r="B156" s="59" t="s">
        <v>97</v>
      </c>
      <c r="C156" s="127" t="s">
        <v>98</v>
      </c>
      <c r="D156" s="85" t="s">
        <v>99</v>
      </c>
      <c r="E156" s="61" t="s">
        <v>69</v>
      </c>
      <c r="F156" s="62"/>
      <c r="G156" s="63" t="s">
        <v>100</v>
      </c>
      <c r="H156" s="86">
        <f>SUM(H157,H160)</f>
        <v>64454091</v>
      </c>
      <c r="I156" s="86">
        <f t="shared" ref="I156:J156" si="57">SUM(I157,I160)</f>
        <v>22445261</v>
      </c>
      <c r="J156" s="86">
        <f t="shared" si="57"/>
        <v>31234632</v>
      </c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65">
        <v>31234623</v>
      </c>
    </row>
    <row r="157" spans="1:22" s="66" customFormat="1" ht="15">
      <c r="A157" s="119" t="s">
        <v>50</v>
      </c>
      <c r="B157" s="120"/>
      <c r="C157" s="121"/>
      <c r="D157" s="87"/>
      <c r="E157" s="71"/>
      <c r="F157" s="72"/>
      <c r="G157" s="73"/>
      <c r="H157" s="74">
        <f>SUM(H158:H159)</f>
        <v>62162455</v>
      </c>
      <c r="I157" s="74">
        <f t="shared" ref="I157:J157" si="58">SUM(I158:I159)</f>
        <v>20560675</v>
      </c>
      <c r="J157" s="74">
        <f t="shared" si="58"/>
        <v>30972182</v>
      </c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65"/>
    </row>
    <row r="158" spans="1:22" s="66" customFormat="1" ht="15">
      <c r="A158" s="88"/>
      <c r="B158" s="122" t="s">
        <v>19</v>
      </c>
      <c r="C158" s="123"/>
      <c r="D158" s="87"/>
      <c r="E158" s="71"/>
      <c r="F158" s="72"/>
      <c r="G158" s="73"/>
      <c r="H158" s="74">
        <v>60375593</v>
      </c>
      <c r="I158" s="74">
        <v>19952843</v>
      </c>
      <c r="J158" s="74">
        <v>30127937</v>
      </c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65"/>
    </row>
    <row r="159" spans="1:22" s="66" customFormat="1" ht="15">
      <c r="A159" s="88"/>
      <c r="B159" s="125" t="s">
        <v>20</v>
      </c>
      <c r="C159" s="126"/>
      <c r="D159" s="87"/>
      <c r="E159" s="71"/>
      <c r="F159" s="72"/>
      <c r="G159" s="73"/>
      <c r="H159" s="74">
        <v>1786862</v>
      </c>
      <c r="I159" s="74">
        <v>607832</v>
      </c>
      <c r="J159" s="74">
        <v>844245</v>
      </c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65"/>
    </row>
    <row r="160" spans="1:22" s="66" customFormat="1" ht="15">
      <c r="A160" s="119" t="s">
        <v>18</v>
      </c>
      <c r="B160" s="120"/>
      <c r="C160" s="121"/>
      <c r="D160" s="87"/>
      <c r="E160" s="71"/>
      <c r="F160" s="72"/>
      <c r="G160" s="73"/>
      <c r="H160" s="74">
        <f>SUM(H161:H162)</f>
        <v>2291636</v>
      </c>
      <c r="I160" s="74">
        <f t="shared" ref="I160:J160" si="59">SUM(I161:I162)</f>
        <v>1884586</v>
      </c>
      <c r="J160" s="74">
        <f t="shared" si="59"/>
        <v>262450</v>
      </c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65"/>
    </row>
    <row r="161" spans="1:24" s="66" customFormat="1" ht="15">
      <c r="A161" s="88"/>
      <c r="B161" s="122" t="s">
        <v>19</v>
      </c>
      <c r="C161" s="123"/>
      <c r="D161" s="87"/>
      <c r="E161" s="71"/>
      <c r="F161" s="72"/>
      <c r="G161" s="73"/>
      <c r="H161" s="74">
        <v>2249204</v>
      </c>
      <c r="I161" s="74">
        <v>1852230</v>
      </c>
      <c r="J161" s="74">
        <v>256974</v>
      </c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65"/>
    </row>
    <row r="162" spans="1:24" s="66" customFormat="1" ht="15">
      <c r="A162" s="88"/>
      <c r="B162" s="125" t="s">
        <v>20</v>
      </c>
      <c r="C162" s="126"/>
      <c r="D162" s="89"/>
      <c r="E162" s="79"/>
      <c r="F162" s="80"/>
      <c r="G162" s="81"/>
      <c r="H162" s="74">
        <v>42432</v>
      </c>
      <c r="I162" s="74">
        <v>32356</v>
      </c>
      <c r="J162" s="74">
        <v>5476</v>
      </c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65"/>
    </row>
    <row r="163" spans="1:24" s="66" customFormat="1" ht="135">
      <c r="A163" s="84">
        <v>27</v>
      </c>
      <c r="B163" s="59" t="s">
        <v>101</v>
      </c>
      <c r="C163" s="127" t="s">
        <v>102</v>
      </c>
      <c r="D163" s="85" t="s">
        <v>103</v>
      </c>
      <c r="E163" s="61" t="s">
        <v>65</v>
      </c>
      <c r="F163" s="62"/>
      <c r="G163" s="63" t="s">
        <v>104</v>
      </c>
      <c r="H163" s="86">
        <f>SUM(H164,H167)</f>
        <v>16381341</v>
      </c>
      <c r="I163" s="86">
        <f t="shared" ref="I163:K163" si="60">SUM(I164,I167)</f>
        <v>10978425</v>
      </c>
      <c r="J163" s="86">
        <f t="shared" si="60"/>
        <v>4115601</v>
      </c>
      <c r="K163" s="86">
        <f t="shared" si="60"/>
        <v>855604</v>
      </c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>
        <v>0</v>
      </c>
    </row>
    <row r="164" spans="1:24" s="66" customFormat="1" ht="15">
      <c r="A164" s="119" t="s">
        <v>50</v>
      </c>
      <c r="B164" s="120"/>
      <c r="C164" s="121"/>
      <c r="D164" s="87"/>
      <c r="E164" s="71"/>
      <c r="F164" s="72"/>
      <c r="G164" s="73"/>
      <c r="H164" s="74">
        <f>SUM(H165:H166)</f>
        <v>4147140</v>
      </c>
      <c r="I164" s="74">
        <f t="shared" ref="I164:K164" si="61">SUM(I165:I166)</f>
        <v>2281812</v>
      </c>
      <c r="J164" s="74">
        <f t="shared" si="61"/>
        <v>1115601</v>
      </c>
      <c r="K164" s="74">
        <f t="shared" si="61"/>
        <v>352293</v>
      </c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</row>
    <row r="165" spans="1:24" s="66" customFormat="1" ht="15">
      <c r="A165" s="88"/>
      <c r="B165" s="122" t="s">
        <v>19</v>
      </c>
      <c r="C165" s="123"/>
      <c r="D165" s="87"/>
      <c r="E165" s="71"/>
      <c r="F165" s="72"/>
      <c r="G165" s="73"/>
      <c r="H165" s="74">
        <v>3658905</v>
      </c>
      <c r="I165" s="74">
        <v>2042154</v>
      </c>
      <c r="J165" s="74">
        <v>979483</v>
      </c>
      <c r="K165" s="74">
        <v>299449</v>
      </c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</row>
    <row r="166" spans="1:24" s="66" customFormat="1" ht="15">
      <c r="A166" s="88"/>
      <c r="B166" s="122" t="s">
        <v>51</v>
      </c>
      <c r="C166" s="123"/>
      <c r="D166" s="87"/>
      <c r="E166" s="71"/>
      <c r="F166" s="72"/>
      <c r="G166" s="73"/>
      <c r="H166" s="74">
        <v>488235</v>
      </c>
      <c r="I166" s="74">
        <v>239658</v>
      </c>
      <c r="J166" s="74">
        <v>136118</v>
      </c>
      <c r="K166" s="74">
        <v>52844</v>
      </c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</row>
    <row r="167" spans="1:24" s="66" customFormat="1" ht="15">
      <c r="A167" s="119" t="s">
        <v>18</v>
      </c>
      <c r="B167" s="120"/>
      <c r="C167" s="121"/>
      <c r="D167" s="87"/>
      <c r="E167" s="71"/>
      <c r="F167" s="72"/>
      <c r="G167" s="73"/>
      <c r="H167" s="74">
        <f>SUM(H168:H169)</f>
        <v>12234201</v>
      </c>
      <c r="I167" s="74">
        <f t="shared" ref="I167:K167" si="62">SUM(I168:I169)</f>
        <v>8696613</v>
      </c>
      <c r="J167" s="74">
        <f t="shared" si="62"/>
        <v>3000000</v>
      </c>
      <c r="K167" s="74">
        <f t="shared" si="62"/>
        <v>503311</v>
      </c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</row>
    <row r="168" spans="1:24" s="66" customFormat="1" ht="15">
      <c r="A168" s="88"/>
      <c r="B168" s="122" t="s">
        <v>19</v>
      </c>
      <c r="C168" s="123"/>
      <c r="D168" s="87"/>
      <c r="E168" s="71"/>
      <c r="F168" s="72"/>
      <c r="G168" s="73"/>
      <c r="H168" s="74">
        <v>12229059</v>
      </c>
      <c r="I168" s="74">
        <v>8696613</v>
      </c>
      <c r="J168" s="74">
        <v>3000000</v>
      </c>
      <c r="K168" s="74">
        <v>503311</v>
      </c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</row>
    <row r="169" spans="1:24" s="66" customFormat="1" ht="15">
      <c r="A169" s="88"/>
      <c r="B169" s="122" t="s">
        <v>51</v>
      </c>
      <c r="C169" s="123"/>
      <c r="D169" s="89"/>
      <c r="E169" s="79"/>
      <c r="F169" s="80"/>
      <c r="G169" s="81"/>
      <c r="H169" s="74">
        <v>5142</v>
      </c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</row>
    <row r="170" spans="1:24" ht="15">
      <c r="A170" s="18"/>
      <c r="B170" s="19"/>
      <c r="C170" s="19"/>
      <c r="D170" s="18"/>
      <c r="E170" s="20"/>
      <c r="F170" s="21"/>
      <c r="G170" s="13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1:24" s="49" customFormat="1" ht="15">
      <c r="A171" s="44" t="s">
        <v>105</v>
      </c>
      <c r="B171" s="45"/>
      <c r="C171" s="45"/>
      <c r="D171" s="45"/>
      <c r="E171" s="45"/>
      <c r="F171" s="45"/>
      <c r="G171" s="46"/>
      <c r="H171" s="47">
        <v>0</v>
      </c>
      <c r="I171" s="47">
        <f t="shared" ref="I171:U171" si="63">SUM(I172:I173)</f>
        <v>0</v>
      </c>
      <c r="J171" s="47">
        <f t="shared" si="63"/>
        <v>0</v>
      </c>
      <c r="K171" s="47">
        <f t="shared" si="63"/>
        <v>0</v>
      </c>
      <c r="L171" s="47">
        <f t="shared" si="63"/>
        <v>0</v>
      </c>
      <c r="M171" s="47">
        <f t="shared" si="63"/>
        <v>0</v>
      </c>
      <c r="N171" s="47">
        <f t="shared" si="63"/>
        <v>0</v>
      </c>
      <c r="O171" s="47">
        <f t="shared" si="63"/>
        <v>0</v>
      </c>
      <c r="P171" s="47">
        <f t="shared" si="63"/>
        <v>0</v>
      </c>
      <c r="Q171" s="47">
        <f t="shared" si="63"/>
        <v>0</v>
      </c>
      <c r="R171" s="47">
        <f t="shared" si="63"/>
        <v>0</v>
      </c>
      <c r="S171" s="47">
        <f t="shared" si="63"/>
        <v>0</v>
      </c>
      <c r="T171" s="47">
        <f t="shared" si="63"/>
        <v>0</v>
      </c>
      <c r="U171" s="47">
        <f t="shared" si="63"/>
        <v>0</v>
      </c>
      <c r="V171" s="47">
        <v>0</v>
      </c>
    </row>
    <row r="172" spans="1:24" s="49" customFormat="1" ht="15">
      <c r="A172" s="51" t="s">
        <v>10</v>
      </c>
      <c r="B172" s="52"/>
      <c r="C172" s="53"/>
      <c r="D172" s="54"/>
      <c r="E172" s="55"/>
      <c r="F172" s="56"/>
      <c r="G172" s="57"/>
      <c r="H172" s="47">
        <v>0</v>
      </c>
      <c r="I172" s="47">
        <v>0</v>
      </c>
      <c r="J172" s="47">
        <v>0</v>
      </c>
      <c r="K172" s="47">
        <f t="shared" ref="K172:U172" si="64">SUM(K278)</f>
        <v>0</v>
      </c>
      <c r="L172" s="47">
        <f t="shared" si="64"/>
        <v>0</v>
      </c>
      <c r="M172" s="47">
        <f t="shared" si="64"/>
        <v>0</v>
      </c>
      <c r="N172" s="47">
        <f t="shared" si="64"/>
        <v>0</v>
      </c>
      <c r="O172" s="47">
        <f t="shared" si="64"/>
        <v>0</v>
      </c>
      <c r="P172" s="47">
        <f t="shared" si="64"/>
        <v>0</v>
      </c>
      <c r="Q172" s="47">
        <f t="shared" si="64"/>
        <v>0</v>
      </c>
      <c r="R172" s="47">
        <f t="shared" si="64"/>
        <v>0</v>
      </c>
      <c r="S172" s="47">
        <f t="shared" si="64"/>
        <v>0</v>
      </c>
      <c r="T172" s="47">
        <f t="shared" si="64"/>
        <v>0</v>
      </c>
      <c r="U172" s="47">
        <f t="shared" si="64"/>
        <v>0</v>
      </c>
      <c r="V172" s="47"/>
    </row>
    <row r="173" spans="1:24" s="49" customFormat="1" ht="15">
      <c r="A173" s="51" t="s">
        <v>11</v>
      </c>
      <c r="B173" s="52"/>
      <c r="C173" s="53"/>
      <c r="D173" s="54"/>
      <c r="E173" s="55"/>
      <c r="F173" s="56"/>
      <c r="G173" s="57"/>
      <c r="H173" s="47">
        <v>0</v>
      </c>
      <c r="I173" s="47">
        <f t="shared" ref="I173:U173" si="65">SUM(I280)</f>
        <v>0</v>
      </c>
      <c r="J173" s="47">
        <f t="shared" si="65"/>
        <v>0</v>
      </c>
      <c r="K173" s="47">
        <f t="shared" si="65"/>
        <v>0</v>
      </c>
      <c r="L173" s="47">
        <f t="shared" si="65"/>
        <v>0</v>
      </c>
      <c r="M173" s="47">
        <f t="shared" si="65"/>
        <v>0</v>
      </c>
      <c r="N173" s="47">
        <f t="shared" si="65"/>
        <v>0</v>
      </c>
      <c r="O173" s="47">
        <f t="shared" si="65"/>
        <v>0</v>
      </c>
      <c r="P173" s="47">
        <f t="shared" si="65"/>
        <v>0</v>
      </c>
      <c r="Q173" s="47">
        <f t="shared" si="65"/>
        <v>0</v>
      </c>
      <c r="R173" s="47">
        <f t="shared" si="65"/>
        <v>0</v>
      </c>
      <c r="S173" s="47">
        <f t="shared" si="65"/>
        <v>0</v>
      </c>
      <c r="T173" s="47">
        <f t="shared" si="65"/>
        <v>0</v>
      </c>
      <c r="U173" s="47">
        <f t="shared" si="65"/>
        <v>0</v>
      </c>
      <c r="V173" s="47"/>
    </row>
    <row r="174" spans="1:24" ht="15">
      <c r="A174" s="18"/>
      <c r="B174" s="19"/>
      <c r="C174" s="19"/>
      <c r="D174" s="18"/>
      <c r="E174" s="20"/>
      <c r="F174" s="21"/>
      <c r="G174" s="133"/>
      <c r="H174" s="23"/>
      <c r="I174" s="23"/>
      <c r="J174" s="23"/>
      <c r="K174" s="23"/>
      <c r="L174" s="23"/>
      <c r="M174" s="23"/>
      <c r="N174" s="23"/>
      <c r="O174" s="23"/>
      <c r="P174" s="110"/>
      <c r="Q174" s="110"/>
      <c r="R174" s="110"/>
      <c r="S174" s="110"/>
      <c r="T174" s="110"/>
      <c r="U174" s="110"/>
      <c r="V174" s="110"/>
    </row>
    <row r="175" spans="1:24" s="49" customFormat="1" ht="15">
      <c r="A175" s="44" t="s">
        <v>106</v>
      </c>
      <c r="B175" s="45"/>
      <c r="C175" s="45"/>
      <c r="D175" s="45"/>
      <c r="E175" s="45"/>
      <c r="F175" s="45"/>
      <c r="G175" s="46"/>
      <c r="H175" s="47">
        <f>SUM(H176:H177)</f>
        <v>813992523</v>
      </c>
      <c r="I175" s="47">
        <f>SUM(I176:I177)</f>
        <v>167805871</v>
      </c>
      <c r="J175" s="47">
        <f t="shared" ref="J175:U175" si="66">SUM(J176:J177)</f>
        <v>121378572</v>
      </c>
      <c r="K175" s="47">
        <f t="shared" si="66"/>
        <v>64390144</v>
      </c>
      <c r="L175" s="47">
        <f t="shared" si="66"/>
        <v>19442175</v>
      </c>
      <c r="M175" s="47">
        <f t="shared" si="66"/>
        <v>17709543</v>
      </c>
      <c r="N175" s="47">
        <f t="shared" si="66"/>
        <v>16875491</v>
      </c>
      <c r="O175" s="47">
        <f t="shared" si="66"/>
        <v>1875491</v>
      </c>
      <c r="P175" s="47">
        <f t="shared" si="66"/>
        <v>1875491</v>
      </c>
      <c r="Q175" s="47">
        <f t="shared" si="66"/>
        <v>200000</v>
      </c>
      <c r="R175" s="47">
        <f t="shared" si="66"/>
        <v>200000</v>
      </c>
      <c r="S175" s="47">
        <f t="shared" si="66"/>
        <v>200000</v>
      </c>
      <c r="T175" s="47">
        <f t="shared" si="66"/>
        <v>200000</v>
      </c>
      <c r="U175" s="47">
        <f t="shared" si="66"/>
        <v>200000</v>
      </c>
      <c r="V175" s="134">
        <f>SUM(V178,V182,V189,V196,V201,V206,V222,V227,V231,V239,V244,V248,V252,V256,V260,V264,V269,V235,V212,V217)</f>
        <v>75984392</v>
      </c>
      <c r="X175" s="50"/>
    </row>
    <row r="176" spans="1:24" s="49" customFormat="1" ht="15">
      <c r="A176" s="51" t="s">
        <v>10</v>
      </c>
      <c r="B176" s="52"/>
      <c r="C176" s="53"/>
      <c r="D176" s="54"/>
      <c r="E176" s="55"/>
      <c r="F176" s="56"/>
      <c r="G176" s="57"/>
      <c r="H176" s="47">
        <f t="shared" ref="H176:U176" si="67">SUM(,H179,H183,H190,H197,H202,H207,H223,H228,H232,H240,H245,H253,H257,H261,H265,H270,H249,H236,H213,H218)</f>
        <v>462698599</v>
      </c>
      <c r="I176" s="47">
        <f t="shared" si="67"/>
        <v>99608848</v>
      </c>
      <c r="J176" s="47">
        <f t="shared" si="67"/>
        <v>76606364</v>
      </c>
      <c r="K176" s="47">
        <f t="shared" si="67"/>
        <v>42280659</v>
      </c>
      <c r="L176" s="47">
        <f t="shared" si="67"/>
        <v>6442175</v>
      </c>
      <c r="M176" s="47">
        <f t="shared" si="67"/>
        <v>4709543</v>
      </c>
      <c r="N176" s="47">
        <f t="shared" si="67"/>
        <v>1875491</v>
      </c>
      <c r="O176" s="47">
        <f t="shared" si="67"/>
        <v>1875491</v>
      </c>
      <c r="P176" s="47">
        <f t="shared" si="67"/>
        <v>1875491</v>
      </c>
      <c r="Q176" s="47">
        <f t="shared" si="67"/>
        <v>200000</v>
      </c>
      <c r="R176" s="47">
        <f t="shared" si="67"/>
        <v>200000</v>
      </c>
      <c r="S176" s="47">
        <f t="shared" si="67"/>
        <v>200000</v>
      </c>
      <c r="T176" s="47">
        <f t="shared" si="67"/>
        <v>200000</v>
      </c>
      <c r="U176" s="47">
        <f t="shared" si="67"/>
        <v>200000</v>
      </c>
      <c r="V176" s="134"/>
    </row>
    <row r="177" spans="1:23" s="49" customFormat="1" ht="15">
      <c r="A177" s="51" t="s">
        <v>11</v>
      </c>
      <c r="B177" s="52"/>
      <c r="C177" s="53"/>
      <c r="D177" s="54"/>
      <c r="E177" s="55"/>
      <c r="F177" s="56"/>
      <c r="G177" s="57"/>
      <c r="H177" s="47">
        <f>SUM(,H181,H186,H193,H199,H204,H208,H224,H233,H242,H247,H255,H259,H263,H268,H271,H230,H251,H238,)</f>
        <v>351293924</v>
      </c>
      <c r="I177" s="47">
        <f t="shared" ref="I177:U177" si="68">SUM(,I181,I186,I193,I199,I204,I208,I224,I233,I242,I247,I255,I259,I263,I268,I271,I230,I251,I238,)</f>
        <v>68197023</v>
      </c>
      <c r="J177" s="47">
        <f t="shared" si="68"/>
        <v>44772208</v>
      </c>
      <c r="K177" s="47">
        <f t="shared" si="68"/>
        <v>22109485</v>
      </c>
      <c r="L177" s="47">
        <f t="shared" si="68"/>
        <v>13000000</v>
      </c>
      <c r="M177" s="47">
        <f t="shared" si="68"/>
        <v>13000000</v>
      </c>
      <c r="N177" s="47">
        <f t="shared" si="68"/>
        <v>15000000</v>
      </c>
      <c r="O177" s="47">
        <f t="shared" si="68"/>
        <v>0</v>
      </c>
      <c r="P177" s="47">
        <f t="shared" si="68"/>
        <v>0</v>
      </c>
      <c r="Q177" s="47">
        <f t="shared" si="68"/>
        <v>0</v>
      </c>
      <c r="R177" s="47">
        <f t="shared" si="68"/>
        <v>0</v>
      </c>
      <c r="S177" s="47">
        <f t="shared" si="68"/>
        <v>0</v>
      </c>
      <c r="T177" s="47">
        <f t="shared" si="68"/>
        <v>0</v>
      </c>
      <c r="U177" s="47">
        <f t="shared" si="68"/>
        <v>0</v>
      </c>
      <c r="V177" s="134"/>
      <c r="W177" s="50"/>
    </row>
    <row r="178" spans="1:23" s="66" customFormat="1" ht="75">
      <c r="A178" s="84">
        <v>1</v>
      </c>
      <c r="B178" s="84" t="s">
        <v>107</v>
      </c>
      <c r="C178" s="84" t="s">
        <v>108</v>
      </c>
      <c r="D178" s="85" t="s">
        <v>109</v>
      </c>
      <c r="E178" s="61" t="s">
        <v>24</v>
      </c>
      <c r="F178" s="62"/>
      <c r="G178" s="135" t="s">
        <v>17</v>
      </c>
      <c r="H178" s="65">
        <f>SUM(H179,H181)</f>
        <v>281021</v>
      </c>
      <c r="I178" s="65">
        <f t="shared" ref="I178:K178" si="69">SUM(I179,I181)</f>
        <v>66950</v>
      </c>
      <c r="J178" s="65">
        <f t="shared" si="69"/>
        <v>68959</v>
      </c>
      <c r="K178" s="65">
        <f t="shared" si="69"/>
        <v>71028</v>
      </c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65">
        <v>139987</v>
      </c>
    </row>
    <row r="179" spans="1:23" s="66" customFormat="1" ht="15">
      <c r="A179" s="119" t="s">
        <v>50</v>
      </c>
      <c r="B179" s="120"/>
      <c r="C179" s="121"/>
      <c r="D179" s="87"/>
      <c r="E179" s="71"/>
      <c r="F179" s="72"/>
      <c r="G179" s="136"/>
      <c r="H179" s="137">
        <f>H180</f>
        <v>281021</v>
      </c>
      <c r="I179" s="137">
        <f t="shared" ref="I179:K179" si="70">I180</f>
        <v>66950</v>
      </c>
      <c r="J179" s="137">
        <f t="shared" si="70"/>
        <v>68959</v>
      </c>
      <c r="K179" s="137">
        <f t="shared" si="70"/>
        <v>71028</v>
      </c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124"/>
    </row>
    <row r="180" spans="1:23" s="66" customFormat="1" ht="15">
      <c r="A180" s="138"/>
      <c r="B180" s="122" t="s">
        <v>51</v>
      </c>
      <c r="C180" s="123"/>
      <c r="D180" s="87"/>
      <c r="E180" s="71"/>
      <c r="F180" s="72"/>
      <c r="G180" s="136"/>
      <c r="H180" s="137">
        <v>281021</v>
      </c>
      <c r="I180" s="137">
        <v>66950</v>
      </c>
      <c r="J180" s="137">
        <v>68959</v>
      </c>
      <c r="K180" s="137">
        <v>71028</v>
      </c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124"/>
    </row>
    <row r="181" spans="1:23" s="66" customFormat="1" ht="15">
      <c r="A181" s="119" t="s">
        <v>11</v>
      </c>
      <c r="B181" s="120"/>
      <c r="C181" s="121"/>
      <c r="D181" s="89"/>
      <c r="E181" s="79"/>
      <c r="F181" s="80"/>
      <c r="G181" s="139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124"/>
    </row>
    <row r="182" spans="1:23" s="66" customFormat="1" ht="328.5" customHeight="1">
      <c r="A182" s="58">
        <v>2</v>
      </c>
      <c r="B182" s="84" t="s">
        <v>110</v>
      </c>
      <c r="C182" s="140" t="s">
        <v>111</v>
      </c>
      <c r="D182" s="85" t="s">
        <v>47</v>
      </c>
      <c r="E182" s="61" t="s">
        <v>112</v>
      </c>
      <c r="F182" s="62"/>
      <c r="G182" s="85" t="s">
        <v>113</v>
      </c>
      <c r="H182" s="65">
        <f>SUM(H183,H186)</f>
        <v>36767900</v>
      </c>
      <c r="I182" s="65">
        <f t="shared" ref="I182:K182" si="71">SUM(I183,I186)</f>
        <v>5950000</v>
      </c>
      <c r="J182" s="65">
        <f t="shared" si="71"/>
        <v>5754000</v>
      </c>
      <c r="K182" s="65">
        <f t="shared" si="71"/>
        <v>5754000</v>
      </c>
      <c r="L182" s="65"/>
      <c r="M182" s="65"/>
      <c r="N182" s="65"/>
      <c r="O182" s="65"/>
      <c r="P182" s="141"/>
      <c r="Q182" s="141"/>
      <c r="R182" s="141"/>
      <c r="S182" s="141"/>
      <c r="T182" s="141"/>
      <c r="U182" s="141"/>
      <c r="V182" s="65">
        <v>0</v>
      </c>
    </row>
    <row r="183" spans="1:23" s="66" customFormat="1" ht="15">
      <c r="A183" s="119" t="s">
        <v>50</v>
      </c>
      <c r="B183" s="120"/>
      <c r="C183" s="121"/>
      <c r="D183" s="87"/>
      <c r="E183" s="71"/>
      <c r="F183" s="72"/>
      <c r="G183" s="87"/>
      <c r="H183" s="74">
        <f>SUM(H184:H185)</f>
        <v>36442500</v>
      </c>
      <c r="I183" s="74">
        <f t="shared" ref="I183:K183" si="72">SUM(I184:I185)</f>
        <v>5931000</v>
      </c>
      <c r="J183" s="74">
        <f t="shared" si="72"/>
        <v>5739000</v>
      </c>
      <c r="K183" s="74">
        <f t="shared" si="72"/>
        <v>5739000</v>
      </c>
      <c r="L183" s="74"/>
      <c r="M183" s="74"/>
      <c r="N183" s="74"/>
      <c r="O183" s="74"/>
      <c r="P183" s="124"/>
      <c r="Q183" s="124"/>
      <c r="R183" s="124"/>
      <c r="S183" s="124"/>
      <c r="T183" s="124"/>
      <c r="U183" s="124"/>
      <c r="V183" s="124"/>
    </row>
    <row r="184" spans="1:23" s="66" customFormat="1" ht="15">
      <c r="A184" s="88"/>
      <c r="B184" s="122" t="s">
        <v>51</v>
      </c>
      <c r="C184" s="123"/>
      <c r="D184" s="87"/>
      <c r="E184" s="71"/>
      <c r="F184" s="72"/>
      <c r="G184" s="87"/>
      <c r="H184" s="74">
        <v>4116460</v>
      </c>
      <c r="I184" s="74">
        <v>390000</v>
      </c>
      <c r="J184" s="74">
        <f>1290000-865000</f>
        <v>425000</v>
      </c>
      <c r="K184" s="74">
        <f>5739000-3159000</f>
        <v>2580000</v>
      </c>
      <c r="L184" s="74"/>
      <c r="M184" s="74"/>
      <c r="N184" s="74"/>
      <c r="O184" s="74"/>
      <c r="P184" s="124"/>
      <c r="Q184" s="124"/>
      <c r="R184" s="124"/>
      <c r="S184" s="124"/>
      <c r="T184" s="124"/>
      <c r="U184" s="124"/>
      <c r="V184" s="124"/>
    </row>
    <row r="185" spans="1:23" s="66" customFormat="1" ht="15">
      <c r="A185" s="88"/>
      <c r="B185" s="122" t="s">
        <v>20</v>
      </c>
      <c r="C185" s="123"/>
      <c r="D185" s="87"/>
      <c r="E185" s="71"/>
      <c r="F185" s="72"/>
      <c r="G185" s="87"/>
      <c r="H185" s="74">
        <v>32326040</v>
      </c>
      <c r="I185" s="74">
        <v>5541000</v>
      </c>
      <c r="J185" s="74">
        <f>4449000+865000</f>
        <v>5314000</v>
      </c>
      <c r="K185" s="74">
        <v>3159000</v>
      </c>
      <c r="L185" s="74"/>
      <c r="M185" s="74"/>
      <c r="N185" s="74"/>
      <c r="O185" s="74"/>
      <c r="P185" s="124"/>
      <c r="Q185" s="124"/>
      <c r="R185" s="124"/>
      <c r="S185" s="124"/>
      <c r="T185" s="124"/>
      <c r="U185" s="124"/>
      <c r="V185" s="124"/>
    </row>
    <row r="186" spans="1:23" s="66" customFormat="1" ht="15">
      <c r="A186" s="119" t="s">
        <v>18</v>
      </c>
      <c r="B186" s="120"/>
      <c r="C186" s="121"/>
      <c r="D186" s="87"/>
      <c r="E186" s="71"/>
      <c r="F186" s="72"/>
      <c r="G186" s="87"/>
      <c r="H186" s="74">
        <f>SUM(H187:H188)</f>
        <v>325400</v>
      </c>
      <c r="I186" s="74">
        <f t="shared" ref="I186:K186" si="73">SUM(I187:I188)</f>
        <v>19000</v>
      </c>
      <c r="J186" s="74">
        <f t="shared" si="73"/>
        <v>15000</v>
      </c>
      <c r="K186" s="74">
        <f t="shared" si="73"/>
        <v>15000</v>
      </c>
      <c r="L186" s="74"/>
      <c r="M186" s="74"/>
      <c r="N186" s="74"/>
      <c r="O186" s="74"/>
      <c r="P186" s="124"/>
      <c r="Q186" s="124"/>
      <c r="R186" s="124"/>
      <c r="S186" s="124"/>
      <c r="T186" s="124"/>
      <c r="U186" s="124"/>
      <c r="V186" s="124"/>
    </row>
    <row r="187" spans="1:23" s="66" customFormat="1" ht="15">
      <c r="A187" s="88"/>
      <c r="B187" s="122" t="s">
        <v>51</v>
      </c>
      <c r="C187" s="123"/>
      <c r="D187" s="87"/>
      <c r="E187" s="71"/>
      <c r="F187" s="72"/>
      <c r="G187" s="87"/>
      <c r="H187" s="74">
        <v>67890</v>
      </c>
      <c r="I187" s="74">
        <v>4000</v>
      </c>
      <c r="J187" s="74">
        <v>3000</v>
      </c>
      <c r="K187" s="74">
        <f>15000-12000</f>
        <v>3000</v>
      </c>
      <c r="L187" s="74"/>
      <c r="M187" s="74"/>
      <c r="N187" s="74"/>
      <c r="O187" s="74"/>
      <c r="P187" s="124"/>
      <c r="Q187" s="124"/>
      <c r="R187" s="124"/>
      <c r="S187" s="124"/>
      <c r="T187" s="124"/>
      <c r="U187" s="124"/>
      <c r="V187" s="124"/>
    </row>
    <row r="188" spans="1:23" s="66" customFormat="1" ht="15">
      <c r="A188" s="88"/>
      <c r="B188" s="122" t="s">
        <v>20</v>
      </c>
      <c r="C188" s="123"/>
      <c r="D188" s="89"/>
      <c r="E188" s="79"/>
      <c r="F188" s="80"/>
      <c r="G188" s="89"/>
      <c r="H188" s="74">
        <v>257510</v>
      </c>
      <c r="I188" s="74">
        <v>15000</v>
      </c>
      <c r="J188" s="74">
        <v>12000</v>
      </c>
      <c r="K188" s="74">
        <v>12000</v>
      </c>
      <c r="L188" s="74"/>
      <c r="M188" s="74"/>
      <c r="N188" s="74"/>
      <c r="O188" s="74"/>
      <c r="P188" s="124"/>
      <c r="Q188" s="124"/>
      <c r="R188" s="124"/>
      <c r="S188" s="124"/>
      <c r="T188" s="124"/>
      <c r="U188" s="124"/>
      <c r="V188" s="124"/>
    </row>
    <row r="189" spans="1:23" s="66" customFormat="1" ht="343.5" customHeight="1">
      <c r="A189" s="84">
        <v>3</v>
      </c>
      <c r="B189" s="84" t="s">
        <v>114</v>
      </c>
      <c r="C189" s="140" t="s">
        <v>115</v>
      </c>
      <c r="D189" s="85" t="s">
        <v>47</v>
      </c>
      <c r="E189" s="61" t="s">
        <v>84</v>
      </c>
      <c r="F189" s="62"/>
      <c r="G189" s="85" t="s">
        <v>116</v>
      </c>
      <c r="H189" s="86">
        <f>SUM(H190,H193)</f>
        <v>2769774</v>
      </c>
      <c r="I189" s="86">
        <f t="shared" ref="I189:K189" si="74">SUM(I190,I193)</f>
        <v>614000</v>
      </c>
      <c r="J189" s="86">
        <f t="shared" si="74"/>
        <v>685000</v>
      </c>
      <c r="K189" s="86">
        <f t="shared" si="74"/>
        <v>360000</v>
      </c>
      <c r="L189" s="86"/>
      <c r="M189" s="86"/>
      <c r="N189" s="86"/>
      <c r="O189" s="86"/>
      <c r="P189" s="142"/>
      <c r="Q189" s="142"/>
      <c r="R189" s="142"/>
      <c r="S189" s="142"/>
      <c r="T189" s="142"/>
      <c r="U189" s="142"/>
      <c r="V189" s="86">
        <v>0</v>
      </c>
    </row>
    <row r="190" spans="1:23" s="66" customFormat="1" ht="15">
      <c r="A190" s="119" t="s">
        <v>50</v>
      </c>
      <c r="B190" s="120"/>
      <c r="C190" s="121"/>
      <c r="D190" s="87"/>
      <c r="E190" s="71"/>
      <c r="F190" s="72"/>
      <c r="G190" s="87"/>
      <c r="H190" s="74">
        <f>SUM(H191:H192)</f>
        <v>2704474</v>
      </c>
      <c r="I190" s="74">
        <f t="shared" ref="I190:K190" si="75">SUM(I191:I192)</f>
        <v>602000</v>
      </c>
      <c r="J190" s="74">
        <f t="shared" si="75"/>
        <v>670000</v>
      </c>
      <c r="K190" s="74">
        <f t="shared" si="75"/>
        <v>350000</v>
      </c>
      <c r="L190" s="74"/>
      <c r="M190" s="74"/>
      <c r="N190" s="74"/>
      <c r="O190" s="74"/>
      <c r="P190" s="124"/>
      <c r="Q190" s="124"/>
      <c r="R190" s="124"/>
      <c r="S190" s="124"/>
      <c r="T190" s="124"/>
      <c r="U190" s="124"/>
      <c r="V190" s="124"/>
    </row>
    <row r="191" spans="1:23" s="66" customFormat="1" ht="15">
      <c r="A191" s="88"/>
      <c r="B191" s="122" t="s">
        <v>51</v>
      </c>
      <c r="C191" s="123"/>
      <c r="D191" s="87"/>
      <c r="E191" s="71"/>
      <c r="F191" s="72"/>
      <c r="G191" s="87"/>
      <c r="H191" s="74">
        <v>6903</v>
      </c>
      <c r="I191" s="74"/>
      <c r="J191" s="74"/>
      <c r="K191" s="74"/>
      <c r="L191" s="83"/>
      <c r="M191" s="74"/>
      <c r="N191" s="74"/>
      <c r="O191" s="74"/>
      <c r="P191" s="124"/>
      <c r="Q191" s="124"/>
      <c r="R191" s="124"/>
      <c r="S191" s="124"/>
      <c r="T191" s="124"/>
      <c r="U191" s="124"/>
      <c r="V191" s="124"/>
    </row>
    <row r="192" spans="1:23" s="66" customFormat="1" ht="15">
      <c r="A192" s="88"/>
      <c r="B192" s="122" t="s">
        <v>20</v>
      </c>
      <c r="C192" s="123"/>
      <c r="D192" s="87"/>
      <c r="E192" s="71"/>
      <c r="F192" s="72"/>
      <c r="G192" s="87"/>
      <c r="H192" s="74">
        <v>2697571</v>
      </c>
      <c r="I192" s="82">
        <v>602000</v>
      </c>
      <c r="J192" s="82">
        <v>670000</v>
      </c>
      <c r="K192" s="82">
        <v>350000</v>
      </c>
      <c r="L192" s="83"/>
      <c r="M192" s="74"/>
      <c r="N192" s="74"/>
      <c r="O192" s="74"/>
      <c r="P192" s="124"/>
      <c r="Q192" s="124"/>
      <c r="R192" s="124"/>
      <c r="S192" s="124"/>
      <c r="T192" s="124"/>
      <c r="U192" s="124"/>
      <c r="V192" s="124"/>
    </row>
    <row r="193" spans="1:22" s="66" customFormat="1" ht="15">
      <c r="A193" s="119" t="s">
        <v>18</v>
      </c>
      <c r="B193" s="120"/>
      <c r="C193" s="121"/>
      <c r="D193" s="87"/>
      <c r="E193" s="71"/>
      <c r="F193" s="72"/>
      <c r="G193" s="87"/>
      <c r="H193" s="74">
        <f>SUM(H194:H195)</f>
        <v>65300</v>
      </c>
      <c r="I193" s="74">
        <f t="shared" ref="I193:K193" si="76">SUM(I194:I195)</f>
        <v>12000</v>
      </c>
      <c r="J193" s="74">
        <f t="shared" si="76"/>
        <v>15000</v>
      </c>
      <c r="K193" s="74">
        <f t="shared" si="76"/>
        <v>10000</v>
      </c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</row>
    <row r="194" spans="1:22" s="66" customFormat="1" ht="15">
      <c r="A194" s="88"/>
      <c r="B194" s="122" t="s">
        <v>51</v>
      </c>
      <c r="C194" s="123"/>
      <c r="D194" s="87"/>
      <c r="E194" s="71"/>
      <c r="F194" s="72"/>
      <c r="G194" s="87"/>
      <c r="H194" s="74">
        <v>2300</v>
      </c>
      <c r="I194" s="74"/>
      <c r="J194" s="74"/>
      <c r="K194" s="74"/>
      <c r="L194" s="143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</row>
    <row r="195" spans="1:22" s="66" customFormat="1" ht="15">
      <c r="A195" s="144"/>
      <c r="B195" s="122" t="s">
        <v>20</v>
      </c>
      <c r="C195" s="123"/>
      <c r="D195" s="89"/>
      <c r="E195" s="79"/>
      <c r="F195" s="80"/>
      <c r="G195" s="89"/>
      <c r="H195" s="74">
        <v>63000</v>
      </c>
      <c r="I195" s="82">
        <v>12000</v>
      </c>
      <c r="J195" s="82">
        <v>15000</v>
      </c>
      <c r="K195" s="82">
        <v>10000</v>
      </c>
      <c r="L195" s="143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</row>
    <row r="196" spans="1:22" s="66" customFormat="1" ht="99" customHeight="1">
      <c r="A196" s="84">
        <v>4</v>
      </c>
      <c r="B196" s="59" t="s">
        <v>117</v>
      </c>
      <c r="C196" s="127" t="s">
        <v>118</v>
      </c>
      <c r="D196" s="85" t="s">
        <v>119</v>
      </c>
      <c r="E196" s="61" t="s">
        <v>54</v>
      </c>
      <c r="F196" s="62"/>
      <c r="G196" s="63" t="s">
        <v>120</v>
      </c>
      <c r="H196" s="86">
        <f>SUM(H197,H199)</f>
        <v>104462748</v>
      </c>
      <c r="I196" s="86">
        <f>SUM(I197,I199)</f>
        <v>24733684</v>
      </c>
      <c r="J196" s="86">
        <f>SUM(J197,J199)</f>
        <v>20269243</v>
      </c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>
        <v>0</v>
      </c>
    </row>
    <row r="197" spans="1:22" s="66" customFormat="1" ht="15">
      <c r="A197" s="67" t="s">
        <v>50</v>
      </c>
      <c r="B197" s="68"/>
      <c r="C197" s="69"/>
      <c r="D197" s="87"/>
      <c r="E197" s="71"/>
      <c r="F197" s="72"/>
      <c r="G197" s="73"/>
      <c r="H197" s="74">
        <f>H198</f>
        <v>104208879</v>
      </c>
      <c r="I197" s="74">
        <f>SUM(I198:I198)</f>
        <v>24664184</v>
      </c>
      <c r="J197" s="74">
        <f>SUM(J198:J198)</f>
        <v>20269243</v>
      </c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</row>
    <row r="198" spans="1:22" s="66" customFormat="1" ht="15">
      <c r="A198" s="88"/>
      <c r="B198" s="76" t="s">
        <v>20</v>
      </c>
      <c r="C198" s="77"/>
      <c r="D198" s="87"/>
      <c r="E198" s="71"/>
      <c r="F198" s="72"/>
      <c r="G198" s="73"/>
      <c r="H198" s="145">
        <v>104208879</v>
      </c>
      <c r="I198" s="74">
        <v>24664184</v>
      </c>
      <c r="J198" s="74">
        <v>20269243</v>
      </c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</row>
    <row r="199" spans="1:22" s="66" customFormat="1" ht="15">
      <c r="A199" s="67" t="s">
        <v>18</v>
      </c>
      <c r="B199" s="68"/>
      <c r="C199" s="69"/>
      <c r="D199" s="87"/>
      <c r="E199" s="71"/>
      <c r="F199" s="72"/>
      <c r="G199" s="73"/>
      <c r="H199" s="74">
        <f>H200</f>
        <v>253869</v>
      </c>
      <c r="I199" s="74">
        <f>SUM(I200:I200)</f>
        <v>69500</v>
      </c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</row>
    <row r="200" spans="1:22" s="66" customFormat="1" ht="15">
      <c r="A200" s="88"/>
      <c r="B200" s="76" t="s">
        <v>20</v>
      </c>
      <c r="C200" s="77"/>
      <c r="D200" s="89"/>
      <c r="E200" s="79"/>
      <c r="F200" s="80"/>
      <c r="G200" s="81"/>
      <c r="H200" s="146">
        <v>253869</v>
      </c>
      <c r="I200" s="74">
        <v>69500</v>
      </c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</row>
    <row r="201" spans="1:22" s="66" customFormat="1" ht="107.25" customHeight="1">
      <c r="A201" s="84">
        <v>5</v>
      </c>
      <c r="B201" s="59" t="s">
        <v>121</v>
      </c>
      <c r="C201" s="127" t="s">
        <v>122</v>
      </c>
      <c r="D201" s="85" t="s">
        <v>47</v>
      </c>
      <c r="E201" s="61" t="s">
        <v>84</v>
      </c>
      <c r="F201" s="62"/>
      <c r="G201" s="85" t="s">
        <v>123</v>
      </c>
      <c r="H201" s="86">
        <f>SUM(H202,H204)</f>
        <v>223182087</v>
      </c>
      <c r="I201" s="86">
        <f t="shared" ref="I201:K201" si="77">SUM(I202,I204)</f>
        <v>45820148</v>
      </c>
      <c r="J201" s="86">
        <f t="shared" si="77"/>
        <v>32721518</v>
      </c>
      <c r="K201" s="86">
        <f t="shared" si="77"/>
        <v>9990815</v>
      </c>
      <c r="L201" s="86"/>
      <c r="M201" s="86"/>
      <c r="N201" s="142"/>
      <c r="O201" s="142"/>
      <c r="P201" s="142"/>
      <c r="Q201" s="142"/>
      <c r="R201" s="142"/>
      <c r="S201" s="142"/>
      <c r="T201" s="142"/>
      <c r="U201" s="142"/>
      <c r="V201" s="86">
        <v>0</v>
      </c>
    </row>
    <row r="202" spans="1:22" s="66" customFormat="1" ht="15">
      <c r="A202" s="119" t="s">
        <v>50</v>
      </c>
      <c r="B202" s="120"/>
      <c r="C202" s="121"/>
      <c r="D202" s="87"/>
      <c r="E202" s="71"/>
      <c r="F202" s="72"/>
      <c r="G202" s="87"/>
      <c r="H202" s="74">
        <f>H203</f>
        <v>2961882</v>
      </c>
      <c r="I202" s="74">
        <f t="shared" ref="I202:K202" si="78">I203</f>
        <v>380000</v>
      </c>
      <c r="J202" s="74">
        <f t="shared" si="78"/>
        <v>443552</v>
      </c>
      <c r="K202" s="74">
        <f t="shared" si="78"/>
        <v>149862</v>
      </c>
      <c r="L202" s="74"/>
      <c r="M202" s="74"/>
      <c r="N202" s="124"/>
      <c r="O202" s="124"/>
      <c r="P202" s="124"/>
      <c r="Q202" s="124"/>
      <c r="R202" s="124"/>
      <c r="S202" s="124"/>
      <c r="T202" s="124"/>
      <c r="U202" s="124"/>
      <c r="V202" s="124"/>
    </row>
    <row r="203" spans="1:22" s="66" customFormat="1" ht="15">
      <c r="A203" s="88"/>
      <c r="B203" s="122" t="s">
        <v>20</v>
      </c>
      <c r="C203" s="123"/>
      <c r="D203" s="87"/>
      <c r="E203" s="71"/>
      <c r="F203" s="72"/>
      <c r="G203" s="87"/>
      <c r="H203" s="74">
        <v>2961882</v>
      </c>
      <c r="I203" s="82">
        <v>380000</v>
      </c>
      <c r="J203" s="82">
        <v>443552</v>
      </c>
      <c r="K203" s="82">
        <v>149862</v>
      </c>
      <c r="L203" s="83"/>
      <c r="M203" s="74"/>
      <c r="N203" s="124"/>
      <c r="O203" s="124"/>
      <c r="P203" s="124"/>
      <c r="Q203" s="124"/>
      <c r="R203" s="124"/>
      <c r="S203" s="124"/>
      <c r="T203" s="124"/>
      <c r="U203" s="124"/>
      <c r="V203" s="124"/>
    </row>
    <row r="204" spans="1:22" s="66" customFormat="1" ht="15">
      <c r="A204" s="119" t="s">
        <v>18</v>
      </c>
      <c r="B204" s="120"/>
      <c r="C204" s="121"/>
      <c r="D204" s="87"/>
      <c r="E204" s="71"/>
      <c r="F204" s="72"/>
      <c r="G204" s="87"/>
      <c r="H204" s="74">
        <f>H205</f>
        <v>220220205</v>
      </c>
      <c r="I204" s="74">
        <f t="shared" ref="I204:K204" si="79">I205</f>
        <v>45440148</v>
      </c>
      <c r="J204" s="74">
        <f t="shared" si="79"/>
        <v>32277966</v>
      </c>
      <c r="K204" s="74">
        <f t="shared" si="79"/>
        <v>9840953</v>
      </c>
      <c r="L204" s="83"/>
      <c r="M204" s="74"/>
      <c r="N204" s="124"/>
      <c r="O204" s="124"/>
      <c r="P204" s="124"/>
      <c r="Q204" s="124"/>
      <c r="R204" s="124"/>
      <c r="S204" s="124"/>
      <c r="T204" s="124"/>
      <c r="U204" s="124"/>
      <c r="V204" s="124"/>
    </row>
    <row r="205" spans="1:22" s="66" customFormat="1" ht="15">
      <c r="A205" s="88"/>
      <c r="B205" s="122" t="s">
        <v>20</v>
      </c>
      <c r="C205" s="123"/>
      <c r="D205" s="89"/>
      <c r="E205" s="79"/>
      <c r="F205" s="80"/>
      <c r="G205" s="89"/>
      <c r="H205" s="74">
        <v>220220205</v>
      </c>
      <c r="I205" s="82">
        <v>45440148</v>
      </c>
      <c r="J205" s="82">
        <v>32277966</v>
      </c>
      <c r="K205" s="82">
        <v>9840953</v>
      </c>
      <c r="L205" s="83"/>
      <c r="M205" s="74"/>
      <c r="N205" s="124"/>
      <c r="O205" s="124"/>
      <c r="P205" s="124"/>
      <c r="Q205" s="124"/>
      <c r="R205" s="124"/>
      <c r="S205" s="124"/>
      <c r="T205" s="124"/>
      <c r="U205" s="124"/>
      <c r="V205" s="124"/>
    </row>
    <row r="206" spans="1:22" s="66" customFormat="1" ht="75">
      <c r="A206" s="84">
        <v>6</v>
      </c>
      <c r="B206" s="84" t="s">
        <v>124</v>
      </c>
      <c r="C206" s="84" t="s">
        <v>125</v>
      </c>
      <c r="D206" s="85" t="s">
        <v>47</v>
      </c>
      <c r="E206" s="61" t="s">
        <v>112</v>
      </c>
      <c r="F206" s="62"/>
      <c r="G206" s="85" t="s">
        <v>55</v>
      </c>
      <c r="H206" s="86">
        <f>SUM(H207:H208)</f>
        <v>64928160</v>
      </c>
      <c r="I206" s="86">
        <f t="shared" ref="I206:K206" si="80">SUM(I207:I208)</f>
        <v>18234375</v>
      </c>
      <c r="J206" s="86">
        <f t="shared" si="80"/>
        <v>9293750</v>
      </c>
      <c r="K206" s="86">
        <f t="shared" si="80"/>
        <v>4704035</v>
      </c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>
        <v>13997785</v>
      </c>
    </row>
    <row r="207" spans="1:22" s="66" customFormat="1" ht="15">
      <c r="A207" s="119" t="s">
        <v>50</v>
      </c>
      <c r="B207" s="120"/>
      <c r="C207" s="121"/>
      <c r="D207" s="87"/>
      <c r="E207" s="71"/>
      <c r="F207" s="72"/>
      <c r="G207" s="87"/>
      <c r="H207" s="74"/>
      <c r="I207" s="74"/>
      <c r="J207" s="74"/>
      <c r="K207" s="74"/>
      <c r="L207" s="74"/>
      <c r="M207" s="74"/>
      <c r="N207" s="124"/>
      <c r="O207" s="124"/>
      <c r="P207" s="124"/>
      <c r="Q207" s="124"/>
      <c r="R207" s="124"/>
      <c r="S207" s="124"/>
      <c r="T207" s="124"/>
      <c r="U207" s="124"/>
      <c r="V207" s="124"/>
    </row>
    <row r="208" spans="1:22" s="66" customFormat="1" ht="15">
      <c r="A208" s="119" t="s">
        <v>18</v>
      </c>
      <c r="B208" s="120"/>
      <c r="C208" s="121"/>
      <c r="D208" s="87"/>
      <c r="E208" s="71"/>
      <c r="F208" s="72"/>
      <c r="G208" s="87"/>
      <c r="H208" s="74">
        <f>SUM(H209:H211)</f>
        <v>64928160</v>
      </c>
      <c r="I208" s="74">
        <f t="shared" ref="I208:K208" si="81">SUM(I209:I211)</f>
        <v>18234375</v>
      </c>
      <c r="J208" s="74">
        <f t="shared" si="81"/>
        <v>9293750</v>
      </c>
      <c r="K208" s="74">
        <f t="shared" si="81"/>
        <v>4704035</v>
      </c>
      <c r="L208" s="74"/>
      <c r="M208" s="74"/>
      <c r="N208" s="124"/>
      <c r="O208" s="124"/>
      <c r="P208" s="124"/>
      <c r="Q208" s="124"/>
      <c r="R208" s="124"/>
      <c r="S208" s="124"/>
      <c r="T208" s="124"/>
      <c r="U208" s="124"/>
      <c r="V208" s="124"/>
    </row>
    <row r="209" spans="1:22" s="66" customFormat="1" ht="15">
      <c r="A209" s="88"/>
      <c r="B209" s="122" t="s">
        <v>51</v>
      </c>
      <c r="C209" s="123"/>
      <c r="D209" s="87"/>
      <c r="E209" s="71"/>
      <c r="F209" s="72"/>
      <c r="G209" s="87"/>
      <c r="H209" s="74">
        <v>1616320</v>
      </c>
      <c r="I209" s="74">
        <v>0</v>
      </c>
      <c r="J209" s="74">
        <v>0</v>
      </c>
      <c r="K209" s="74">
        <v>0</v>
      </c>
      <c r="L209" s="74"/>
      <c r="M209" s="74"/>
      <c r="N209" s="124"/>
      <c r="O209" s="124"/>
      <c r="P209" s="124"/>
      <c r="Q209" s="124"/>
      <c r="R209" s="124"/>
      <c r="S209" s="124"/>
      <c r="T209" s="124"/>
      <c r="U209" s="124"/>
      <c r="V209" s="124"/>
    </row>
    <row r="210" spans="1:22" s="66" customFormat="1" ht="15">
      <c r="A210" s="88"/>
      <c r="B210" s="122" t="s">
        <v>20</v>
      </c>
      <c r="C210" s="123"/>
      <c r="D210" s="87"/>
      <c r="E210" s="71"/>
      <c r="F210" s="72"/>
      <c r="G210" s="87"/>
      <c r="H210" s="74">
        <v>36778480</v>
      </c>
      <c r="I210" s="74">
        <v>14587500</v>
      </c>
      <c r="J210" s="74">
        <v>7293750</v>
      </c>
      <c r="K210" s="74">
        <v>1216280</v>
      </c>
      <c r="L210" s="74"/>
      <c r="M210" s="74"/>
      <c r="N210" s="124"/>
      <c r="O210" s="124"/>
      <c r="P210" s="124"/>
      <c r="Q210" s="124"/>
      <c r="R210" s="124"/>
      <c r="S210" s="124"/>
      <c r="T210" s="124"/>
      <c r="U210" s="124"/>
      <c r="V210" s="124"/>
    </row>
    <row r="211" spans="1:22" s="66" customFormat="1" ht="15">
      <c r="A211" s="88"/>
      <c r="B211" s="120" t="s">
        <v>56</v>
      </c>
      <c r="C211" s="121"/>
      <c r="D211" s="89"/>
      <c r="E211" s="79"/>
      <c r="F211" s="80"/>
      <c r="G211" s="89"/>
      <c r="H211" s="74">
        <v>26533360</v>
      </c>
      <c r="I211" s="74">
        <v>3646875</v>
      </c>
      <c r="J211" s="74">
        <v>2000000</v>
      </c>
      <c r="K211" s="74">
        <v>3487755</v>
      </c>
      <c r="L211" s="7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</row>
    <row r="212" spans="1:22" s="66" customFormat="1" ht="30">
      <c r="A212" s="84">
        <v>7</v>
      </c>
      <c r="B212" s="84" t="s">
        <v>126</v>
      </c>
      <c r="C212" s="84" t="s">
        <v>53</v>
      </c>
      <c r="D212" s="85" t="s">
        <v>47</v>
      </c>
      <c r="E212" s="61" t="s">
        <v>127</v>
      </c>
      <c r="F212" s="62"/>
      <c r="G212" s="85" t="s">
        <v>55</v>
      </c>
      <c r="H212" s="86">
        <f>SUM(H213,H216)</f>
        <v>10802368</v>
      </c>
      <c r="I212" s="86">
        <f>SUM(I213,I216)</f>
        <v>100000</v>
      </c>
      <c r="J212" s="86">
        <f t="shared" ref="J212:M212" si="82">SUM(J213,J216)</f>
        <v>2580000</v>
      </c>
      <c r="K212" s="86">
        <f t="shared" si="82"/>
        <v>3285000</v>
      </c>
      <c r="L212" s="86">
        <f t="shared" si="82"/>
        <v>3285000</v>
      </c>
      <c r="M212" s="86">
        <f t="shared" si="82"/>
        <v>1552368</v>
      </c>
      <c r="N212" s="142"/>
      <c r="O212" s="142"/>
      <c r="P212" s="142"/>
      <c r="Q212" s="142"/>
      <c r="R212" s="142"/>
      <c r="S212" s="142"/>
      <c r="T212" s="142"/>
      <c r="U212" s="142"/>
      <c r="V212" s="86">
        <v>10702368</v>
      </c>
    </row>
    <row r="213" spans="1:22" s="66" customFormat="1" ht="15">
      <c r="A213" s="119" t="s">
        <v>50</v>
      </c>
      <c r="B213" s="120"/>
      <c r="C213" s="121"/>
      <c r="D213" s="87"/>
      <c r="E213" s="71"/>
      <c r="F213" s="72"/>
      <c r="G213" s="87"/>
      <c r="H213" s="74">
        <f>SUM(H214:H215)</f>
        <v>10802368</v>
      </c>
      <c r="I213" s="74">
        <f t="shared" ref="I213:M213" si="83">SUM(I214:I215)</f>
        <v>100000</v>
      </c>
      <c r="J213" s="74">
        <f t="shared" si="83"/>
        <v>2580000</v>
      </c>
      <c r="K213" s="74">
        <f t="shared" si="83"/>
        <v>3285000</v>
      </c>
      <c r="L213" s="74">
        <f t="shared" si="83"/>
        <v>3285000</v>
      </c>
      <c r="M213" s="74">
        <f t="shared" si="83"/>
        <v>1552368</v>
      </c>
      <c r="N213" s="124"/>
      <c r="O213" s="124"/>
      <c r="P213" s="124"/>
      <c r="Q213" s="124"/>
      <c r="R213" s="124"/>
      <c r="S213" s="124"/>
      <c r="T213" s="124"/>
      <c r="U213" s="124"/>
      <c r="V213" s="124"/>
    </row>
    <row r="214" spans="1:22" s="66" customFormat="1" ht="15">
      <c r="A214" s="88"/>
      <c r="B214" s="122" t="s">
        <v>51</v>
      </c>
      <c r="C214" s="123"/>
      <c r="D214" s="87"/>
      <c r="E214" s="71"/>
      <c r="F214" s="72"/>
      <c r="G214" s="87"/>
      <c r="H214" s="74">
        <v>1552368</v>
      </c>
      <c r="I214" s="74">
        <v>0</v>
      </c>
      <c r="J214" s="74">
        <v>0</v>
      </c>
      <c r="K214" s="74">
        <v>0</v>
      </c>
      <c r="L214" s="74">
        <v>0</v>
      </c>
      <c r="M214" s="74">
        <v>1552368</v>
      </c>
      <c r="N214" s="124"/>
      <c r="O214" s="124"/>
      <c r="P214" s="124"/>
      <c r="Q214" s="124"/>
      <c r="R214" s="124"/>
      <c r="S214" s="124"/>
      <c r="T214" s="124"/>
      <c r="U214" s="124"/>
      <c r="V214" s="124"/>
    </row>
    <row r="215" spans="1:22" s="66" customFormat="1" ht="15">
      <c r="A215" s="88"/>
      <c r="B215" s="120" t="s">
        <v>56</v>
      </c>
      <c r="C215" s="121"/>
      <c r="D215" s="87"/>
      <c r="E215" s="71"/>
      <c r="F215" s="72"/>
      <c r="G215" s="87"/>
      <c r="H215" s="74">
        <v>9250000</v>
      </c>
      <c r="I215" s="74">
        <v>100000</v>
      </c>
      <c r="J215" s="74">
        <v>2580000</v>
      </c>
      <c r="K215" s="74">
        <v>3285000</v>
      </c>
      <c r="L215" s="74">
        <v>3285000</v>
      </c>
      <c r="M215" s="74"/>
      <c r="N215" s="124"/>
      <c r="O215" s="124"/>
      <c r="P215" s="124"/>
      <c r="Q215" s="124"/>
      <c r="R215" s="124"/>
      <c r="S215" s="124"/>
      <c r="T215" s="124"/>
      <c r="U215" s="124"/>
      <c r="V215" s="124"/>
    </row>
    <row r="216" spans="1:22" s="66" customFormat="1" ht="15">
      <c r="A216" s="119" t="s">
        <v>11</v>
      </c>
      <c r="B216" s="120"/>
      <c r="C216" s="121"/>
      <c r="D216" s="89"/>
      <c r="E216" s="79"/>
      <c r="F216" s="80"/>
      <c r="G216" s="89"/>
      <c r="H216" s="74"/>
      <c r="I216" s="7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</row>
    <row r="217" spans="1:22" s="66" customFormat="1" ht="30">
      <c r="A217" s="84">
        <v>8</v>
      </c>
      <c r="B217" s="84" t="s">
        <v>128</v>
      </c>
      <c r="C217" s="84" t="s">
        <v>53</v>
      </c>
      <c r="D217" s="85" t="s">
        <v>47</v>
      </c>
      <c r="E217" s="61" t="s">
        <v>129</v>
      </c>
      <c r="F217" s="62"/>
      <c r="G217" s="85" t="s">
        <v>55</v>
      </c>
      <c r="H217" s="86">
        <f>SUM(H218,H221)</f>
        <v>3240000</v>
      </c>
      <c r="I217" s="86">
        <f>SUM(I218,I221)</f>
        <v>0</v>
      </c>
      <c r="J217" s="86">
        <f t="shared" ref="J217:P217" si="84">SUM(J218,J221)</f>
        <v>0</v>
      </c>
      <c r="K217" s="86">
        <f t="shared" si="84"/>
        <v>502500</v>
      </c>
      <c r="L217" s="86">
        <f t="shared" si="84"/>
        <v>547500</v>
      </c>
      <c r="M217" s="86">
        <f t="shared" si="84"/>
        <v>547500</v>
      </c>
      <c r="N217" s="86">
        <f t="shared" si="84"/>
        <v>547500</v>
      </c>
      <c r="O217" s="86">
        <f t="shared" si="84"/>
        <v>547500</v>
      </c>
      <c r="P217" s="86">
        <f t="shared" si="84"/>
        <v>547500</v>
      </c>
      <c r="Q217" s="142"/>
      <c r="R217" s="142"/>
      <c r="S217" s="142"/>
      <c r="T217" s="142"/>
      <c r="U217" s="142"/>
      <c r="V217" s="86">
        <v>3240000</v>
      </c>
    </row>
    <row r="218" spans="1:22" s="66" customFormat="1" ht="15">
      <c r="A218" s="119" t="s">
        <v>50</v>
      </c>
      <c r="B218" s="120"/>
      <c r="C218" s="121"/>
      <c r="D218" s="87"/>
      <c r="E218" s="71"/>
      <c r="F218" s="72"/>
      <c r="G218" s="87"/>
      <c r="H218" s="74">
        <f>SUM(H219:H220)</f>
        <v>3240000</v>
      </c>
      <c r="I218" s="74">
        <f t="shared" ref="I218:P218" si="85">SUM(I219:I220)</f>
        <v>0</v>
      </c>
      <c r="J218" s="74">
        <f t="shared" si="85"/>
        <v>0</v>
      </c>
      <c r="K218" s="74">
        <f t="shared" si="85"/>
        <v>502500</v>
      </c>
      <c r="L218" s="74">
        <f t="shared" si="85"/>
        <v>547500</v>
      </c>
      <c r="M218" s="74">
        <f t="shared" si="85"/>
        <v>547500</v>
      </c>
      <c r="N218" s="74">
        <f t="shared" si="85"/>
        <v>547500</v>
      </c>
      <c r="O218" s="74">
        <f t="shared" si="85"/>
        <v>547500</v>
      </c>
      <c r="P218" s="74">
        <f t="shared" si="85"/>
        <v>547500</v>
      </c>
      <c r="Q218" s="124"/>
      <c r="R218" s="124"/>
      <c r="S218" s="124"/>
      <c r="T218" s="124"/>
      <c r="U218" s="124"/>
      <c r="V218" s="124"/>
    </row>
    <row r="219" spans="1:22" s="66" customFormat="1" ht="15">
      <c r="A219" s="88"/>
      <c r="B219" s="122" t="s">
        <v>51</v>
      </c>
      <c r="C219" s="123"/>
      <c r="D219" s="87"/>
      <c r="E219" s="71"/>
      <c r="F219" s="72"/>
      <c r="G219" s="87"/>
      <c r="H219" s="74">
        <v>2190000</v>
      </c>
      <c r="I219" s="74">
        <v>0</v>
      </c>
      <c r="J219" s="74">
        <v>0</v>
      </c>
      <c r="K219" s="74">
        <v>0</v>
      </c>
      <c r="L219" s="74">
        <v>0</v>
      </c>
      <c r="M219" s="74">
        <v>547500</v>
      </c>
      <c r="N219" s="74">
        <v>547500</v>
      </c>
      <c r="O219" s="74">
        <v>547500</v>
      </c>
      <c r="P219" s="74">
        <v>547500</v>
      </c>
      <c r="Q219" s="124"/>
      <c r="R219" s="124"/>
      <c r="S219" s="124"/>
      <c r="T219" s="124"/>
      <c r="U219" s="124"/>
      <c r="V219" s="124"/>
    </row>
    <row r="220" spans="1:22" s="66" customFormat="1" ht="15">
      <c r="A220" s="88"/>
      <c r="B220" s="120" t="s">
        <v>56</v>
      </c>
      <c r="C220" s="121"/>
      <c r="D220" s="87"/>
      <c r="E220" s="71"/>
      <c r="F220" s="72"/>
      <c r="G220" s="87"/>
      <c r="H220" s="74">
        <v>1050000</v>
      </c>
      <c r="I220" s="74">
        <v>0</v>
      </c>
      <c r="J220" s="74">
        <v>0</v>
      </c>
      <c r="K220" s="74">
        <v>502500</v>
      </c>
      <c r="L220" s="74">
        <v>547500</v>
      </c>
      <c r="M220" s="74"/>
      <c r="N220" s="124"/>
      <c r="O220" s="124"/>
      <c r="P220" s="124"/>
      <c r="Q220" s="124"/>
      <c r="R220" s="124"/>
      <c r="S220" s="124"/>
      <c r="T220" s="124"/>
      <c r="U220" s="124"/>
      <c r="V220" s="124"/>
    </row>
    <row r="221" spans="1:22" s="66" customFormat="1" ht="15">
      <c r="A221" s="119" t="s">
        <v>11</v>
      </c>
      <c r="B221" s="120"/>
      <c r="C221" s="121"/>
      <c r="D221" s="89"/>
      <c r="E221" s="79"/>
      <c r="F221" s="80"/>
      <c r="G221" s="89"/>
      <c r="H221" s="74"/>
      <c r="I221" s="7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</row>
    <row r="222" spans="1:22" s="66" customFormat="1" ht="120">
      <c r="A222" s="84">
        <v>9</v>
      </c>
      <c r="B222" s="84" t="s">
        <v>130</v>
      </c>
      <c r="C222" s="84" t="s">
        <v>63</v>
      </c>
      <c r="D222" s="85" t="s">
        <v>60</v>
      </c>
      <c r="E222" s="61" t="s">
        <v>131</v>
      </c>
      <c r="F222" s="62"/>
      <c r="G222" s="85" t="s">
        <v>61</v>
      </c>
      <c r="H222" s="86">
        <f>SUM(H223:H224)</f>
        <v>48000000</v>
      </c>
      <c r="I222" s="86">
        <f t="shared" ref="I222:N222" si="86">SUM(I223:I224)</f>
        <v>0</v>
      </c>
      <c r="J222" s="86">
        <f t="shared" si="86"/>
        <v>0</v>
      </c>
      <c r="K222" s="86">
        <f t="shared" si="86"/>
        <v>7000000</v>
      </c>
      <c r="L222" s="86">
        <f t="shared" si="86"/>
        <v>13000000</v>
      </c>
      <c r="M222" s="86">
        <f t="shared" si="86"/>
        <v>13000000</v>
      </c>
      <c r="N222" s="86">
        <f t="shared" si="86"/>
        <v>15000000</v>
      </c>
      <c r="O222" s="142"/>
      <c r="P222" s="142"/>
      <c r="Q222" s="142"/>
      <c r="R222" s="142"/>
      <c r="S222" s="142"/>
      <c r="T222" s="142"/>
      <c r="U222" s="142"/>
      <c r="V222" s="86">
        <v>0</v>
      </c>
    </row>
    <row r="223" spans="1:22" s="66" customFormat="1" ht="15">
      <c r="A223" s="119" t="s">
        <v>10</v>
      </c>
      <c r="B223" s="120"/>
      <c r="C223" s="121"/>
      <c r="D223" s="87"/>
      <c r="E223" s="71"/>
      <c r="F223" s="72"/>
      <c r="G223" s="87"/>
      <c r="H223" s="74"/>
      <c r="I223" s="74"/>
      <c r="J223" s="74"/>
      <c r="K223" s="7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</row>
    <row r="224" spans="1:22" s="66" customFormat="1" ht="15">
      <c r="A224" s="119" t="s">
        <v>18</v>
      </c>
      <c r="B224" s="120"/>
      <c r="C224" s="121"/>
      <c r="D224" s="87"/>
      <c r="E224" s="71"/>
      <c r="F224" s="72"/>
      <c r="G224" s="87"/>
      <c r="H224" s="74">
        <f>SUM(H225:H226)</f>
        <v>48000000</v>
      </c>
      <c r="I224" s="74">
        <f t="shared" ref="I224:N224" si="87">SUM(I225:I226)</f>
        <v>0</v>
      </c>
      <c r="J224" s="74">
        <f t="shared" si="87"/>
        <v>0</v>
      </c>
      <c r="K224" s="74">
        <f t="shared" si="87"/>
        <v>7000000</v>
      </c>
      <c r="L224" s="74">
        <f t="shared" si="87"/>
        <v>13000000</v>
      </c>
      <c r="M224" s="74">
        <f t="shared" si="87"/>
        <v>13000000</v>
      </c>
      <c r="N224" s="74">
        <f t="shared" si="87"/>
        <v>15000000</v>
      </c>
      <c r="O224" s="124"/>
      <c r="P224" s="124"/>
      <c r="Q224" s="124"/>
      <c r="R224" s="124"/>
      <c r="S224" s="124"/>
      <c r="T224" s="124"/>
      <c r="U224" s="124"/>
      <c r="V224" s="124"/>
    </row>
    <row r="225" spans="1:22" s="66" customFormat="1" ht="15">
      <c r="A225" s="88"/>
      <c r="B225" s="122" t="s">
        <v>51</v>
      </c>
      <c r="C225" s="123"/>
      <c r="D225" s="87"/>
      <c r="E225" s="71"/>
      <c r="F225" s="72"/>
      <c r="G225" s="87"/>
      <c r="H225" s="74">
        <v>40000000</v>
      </c>
      <c r="I225" s="74"/>
      <c r="J225" s="74"/>
      <c r="K225" s="74">
        <v>5000000</v>
      </c>
      <c r="L225" s="74">
        <v>10000000</v>
      </c>
      <c r="M225" s="74">
        <v>10000000</v>
      </c>
      <c r="N225" s="74">
        <v>15000000</v>
      </c>
      <c r="O225" s="124"/>
      <c r="P225" s="124"/>
      <c r="Q225" s="124"/>
      <c r="R225" s="124"/>
      <c r="S225" s="124"/>
      <c r="T225" s="124"/>
      <c r="U225" s="124"/>
      <c r="V225" s="124"/>
    </row>
    <row r="226" spans="1:22" s="66" customFormat="1" ht="15">
      <c r="A226" s="88"/>
      <c r="B226" s="122" t="s">
        <v>132</v>
      </c>
      <c r="C226" s="123"/>
      <c r="D226" s="89"/>
      <c r="E226" s="79"/>
      <c r="F226" s="80"/>
      <c r="G226" s="89"/>
      <c r="H226" s="74">
        <v>8000000</v>
      </c>
      <c r="I226" s="74"/>
      <c r="J226" s="74"/>
      <c r="K226" s="74">
        <v>2000000</v>
      </c>
      <c r="L226" s="124">
        <v>3000000</v>
      </c>
      <c r="M226" s="124">
        <v>3000000</v>
      </c>
      <c r="N226" s="124"/>
      <c r="O226" s="124"/>
      <c r="P226" s="124"/>
      <c r="Q226" s="124"/>
      <c r="R226" s="124"/>
      <c r="S226" s="124"/>
      <c r="T226" s="124"/>
      <c r="U226" s="124"/>
      <c r="V226" s="124"/>
    </row>
    <row r="227" spans="1:22" s="66" customFormat="1" ht="30">
      <c r="A227" s="84">
        <v>10</v>
      </c>
      <c r="B227" s="84" t="s">
        <v>133</v>
      </c>
      <c r="C227" s="84" t="s">
        <v>133</v>
      </c>
      <c r="D227" s="85" t="s">
        <v>60</v>
      </c>
      <c r="E227" s="61" t="s">
        <v>112</v>
      </c>
      <c r="F227" s="62"/>
      <c r="G227" s="85" t="s">
        <v>61</v>
      </c>
      <c r="H227" s="86">
        <f>SUM(H228,H230)</f>
        <v>56691296</v>
      </c>
      <c r="I227" s="86">
        <f>SUM(I228,I230)</f>
        <v>12812414</v>
      </c>
      <c r="J227" s="86">
        <f t="shared" ref="J227:K227" si="88">SUM(J228,J230)</f>
        <v>6180000</v>
      </c>
      <c r="K227" s="86">
        <f t="shared" si="88"/>
        <v>6365000</v>
      </c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86">
        <v>12545000</v>
      </c>
    </row>
    <row r="228" spans="1:22" s="66" customFormat="1" ht="15">
      <c r="A228" s="119" t="s">
        <v>50</v>
      </c>
      <c r="B228" s="120"/>
      <c r="C228" s="121"/>
      <c r="D228" s="87"/>
      <c r="E228" s="71"/>
      <c r="F228" s="72"/>
      <c r="G228" s="87"/>
      <c r="H228" s="74">
        <f>H229</f>
        <v>56691296</v>
      </c>
      <c r="I228" s="74">
        <f>SUM(I229:I229)</f>
        <v>12812414</v>
      </c>
      <c r="J228" s="74">
        <f t="shared" ref="J228:K228" si="89">SUM(J229:J229)</f>
        <v>6180000</v>
      </c>
      <c r="K228" s="74">
        <f t="shared" si="89"/>
        <v>6365000</v>
      </c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</row>
    <row r="229" spans="1:22" s="66" customFormat="1" ht="15">
      <c r="A229" s="88"/>
      <c r="B229" s="76" t="s">
        <v>51</v>
      </c>
      <c r="C229" s="77"/>
      <c r="D229" s="87"/>
      <c r="E229" s="71"/>
      <c r="F229" s="72"/>
      <c r="G229" s="87"/>
      <c r="H229" s="74">
        <v>56691296</v>
      </c>
      <c r="I229" s="74">
        <v>12812414</v>
      </c>
      <c r="J229" s="74">
        <v>6180000</v>
      </c>
      <c r="K229" s="74">
        <v>6365000</v>
      </c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</row>
    <row r="230" spans="1:22" s="66" customFormat="1" ht="15">
      <c r="A230" s="67" t="s">
        <v>11</v>
      </c>
      <c r="B230" s="68"/>
      <c r="C230" s="69"/>
      <c r="D230" s="89"/>
      <c r="E230" s="79"/>
      <c r="F230" s="80"/>
      <c r="G230" s="89"/>
      <c r="H230" s="74"/>
      <c r="I230" s="74"/>
      <c r="J230" s="74"/>
      <c r="K230" s="7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</row>
    <row r="231" spans="1:22" ht="60">
      <c r="A231" s="147">
        <v>11</v>
      </c>
      <c r="B231" s="92" t="s">
        <v>134</v>
      </c>
      <c r="C231" s="92" t="s">
        <v>135</v>
      </c>
      <c r="D231" s="94" t="s">
        <v>60</v>
      </c>
      <c r="E231" s="95" t="s">
        <v>69</v>
      </c>
      <c r="F231" s="96"/>
      <c r="G231" s="97" t="s">
        <v>61</v>
      </c>
      <c r="H231" s="148">
        <f t="shared" ref="H231:J231" si="90">SUM(H232:H233)</f>
        <v>2230000</v>
      </c>
      <c r="I231" s="148">
        <f t="shared" si="90"/>
        <v>730000</v>
      </c>
      <c r="J231" s="148">
        <f t="shared" si="90"/>
        <v>490000</v>
      </c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9">
        <v>490000</v>
      </c>
    </row>
    <row r="232" spans="1:22" ht="15" customHeight="1">
      <c r="A232" s="150" t="s">
        <v>10</v>
      </c>
      <c r="B232" s="151"/>
      <c r="C232" s="152"/>
      <c r="D232" s="103"/>
      <c r="E232" s="104"/>
      <c r="F232" s="105"/>
      <c r="G232" s="106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42"/>
    </row>
    <row r="233" spans="1:22" ht="15">
      <c r="A233" s="150" t="s">
        <v>18</v>
      </c>
      <c r="B233" s="151"/>
      <c r="C233" s="152"/>
      <c r="D233" s="103"/>
      <c r="E233" s="104"/>
      <c r="F233" s="105"/>
      <c r="G233" s="106"/>
      <c r="H233" s="23">
        <f>SUM(H234:H234)</f>
        <v>2230000</v>
      </c>
      <c r="I233" s="23">
        <f>SUM(I234:I234)</f>
        <v>730000</v>
      </c>
      <c r="J233" s="23">
        <f>SUM(J234:J234)</f>
        <v>490000</v>
      </c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42"/>
    </row>
    <row r="234" spans="1:22" ht="15">
      <c r="A234" s="107"/>
      <c r="B234" s="108" t="s">
        <v>51</v>
      </c>
      <c r="C234" s="109"/>
      <c r="D234" s="103"/>
      <c r="E234" s="104"/>
      <c r="F234" s="105"/>
      <c r="G234" s="106"/>
      <c r="H234" s="153">
        <v>2230000</v>
      </c>
      <c r="I234" s="23">
        <v>730000</v>
      </c>
      <c r="J234" s="23">
        <v>490000</v>
      </c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42"/>
    </row>
    <row r="235" spans="1:22" s="66" customFormat="1" ht="111.75" customHeight="1">
      <c r="A235" s="84">
        <v>12</v>
      </c>
      <c r="B235" s="84" t="s">
        <v>136</v>
      </c>
      <c r="C235" s="84" t="s">
        <v>137</v>
      </c>
      <c r="D235" s="85" t="s">
        <v>138</v>
      </c>
      <c r="E235" s="61" t="s">
        <v>139</v>
      </c>
      <c r="F235" s="62"/>
      <c r="G235" s="85" t="s">
        <v>140</v>
      </c>
      <c r="H235" s="86">
        <f>SUM(H236,H238)</f>
        <v>1400000</v>
      </c>
      <c r="I235" s="86">
        <f t="shared" ref="I235:K235" si="91">SUM(I236,I238)</f>
        <v>400000</v>
      </c>
      <c r="J235" s="86">
        <f t="shared" si="91"/>
        <v>500000</v>
      </c>
      <c r="K235" s="86">
        <f t="shared" si="91"/>
        <v>500000</v>
      </c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86">
        <v>1000000</v>
      </c>
    </row>
    <row r="236" spans="1:22" s="66" customFormat="1" ht="15">
      <c r="A236" s="119" t="s">
        <v>50</v>
      </c>
      <c r="B236" s="120"/>
      <c r="C236" s="121"/>
      <c r="D236" s="87"/>
      <c r="E236" s="71"/>
      <c r="F236" s="72"/>
      <c r="G236" s="87"/>
      <c r="H236" s="74">
        <f>H237</f>
        <v>1400000</v>
      </c>
      <c r="I236" s="74">
        <f t="shared" ref="I236:K236" si="92">I237</f>
        <v>400000</v>
      </c>
      <c r="J236" s="74">
        <f t="shared" si="92"/>
        <v>500000</v>
      </c>
      <c r="K236" s="74">
        <f t="shared" si="92"/>
        <v>500000</v>
      </c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</row>
    <row r="237" spans="1:22" s="66" customFormat="1" ht="15">
      <c r="A237" s="88"/>
      <c r="B237" s="76" t="s">
        <v>51</v>
      </c>
      <c r="C237" s="77"/>
      <c r="D237" s="87"/>
      <c r="E237" s="71"/>
      <c r="F237" s="72"/>
      <c r="G237" s="87"/>
      <c r="H237" s="74">
        <v>1400000</v>
      </c>
      <c r="I237" s="74">
        <v>400000</v>
      </c>
      <c r="J237" s="74">
        <v>500000</v>
      </c>
      <c r="K237" s="74">
        <v>500000</v>
      </c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</row>
    <row r="238" spans="1:22" s="66" customFormat="1" ht="15">
      <c r="A238" s="67" t="s">
        <v>11</v>
      </c>
      <c r="B238" s="68"/>
      <c r="C238" s="69"/>
      <c r="D238" s="89"/>
      <c r="E238" s="79"/>
      <c r="F238" s="80"/>
      <c r="G238" s="89"/>
      <c r="H238" s="74"/>
      <c r="I238" s="74"/>
      <c r="J238" s="74"/>
      <c r="K238" s="7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</row>
    <row r="239" spans="1:22" s="66" customFormat="1" ht="108" customHeight="1">
      <c r="A239" s="84">
        <v>13</v>
      </c>
      <c r="B239" s="84" t="s">
        <v>141</v>
      </c>
      <c r="C239" s="84" t="s">
        <v>142</v>
      </c>
      <c r="D239" s="85" t="s">
        <v>47</v>
      </c>
      <c r="E239" s="61" t="s">
        <v>112</v>
      </c>
      <c r="F239" s="62"/>
      <c r="G239" s="85" t="s">
        <v>85</v>
      </c>
      <c r="H239" s="86">
        <f>SUM(H240,H242)</f>
        <v>129265930</v>
      </c>
      <c r="I239" s="86">
        <f t="shared" ref="I239:K239" si="93">SUM(I240,I242)</f>
        <v>23000000</v>
      </c>
      <c r="J239" s="86">
        <f t="shared" si="93"/>
        <v>16002161</v>
      </c>
      <c r="K239" s="86">
        <f t="shared" si="93"/>
        <v>10940091</v>
      </c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86">
        <v>26942252</v>
      </c>
    </row>
    <row r="240" spans="1:22" s="66" customFormat="1" ht="15">
      <c r="A240" s="119" t="s">
        <v>50</v>
      </c>
      <c r="B240" s="120"/>
      <c r="C240" s="121"/>
      <c r="D240" s="87"/>
      <c r="E240" s="71"/>
      <c r="F240" s="72"/>
      <c r="G240" s="87"/>
      <c r="H240" s="74">
        <f>H241</f>
        <v>119799940</v>
      </c>
      <c r="I240" s="74">
        <f t="shared" ref="I240:K240" si="94">I241</f>
        <v>22508000</v>
      </c>
      <c r="J240" s="74">
        <f t="shared" si="94"/>
        <v>15481160</v>
      </c>
      <c r="K240" s="74">
        <f t="shared" si="94"/>
        <v>10400594</v>
      </c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</row>
    <row r="241" spans="1:22" s="66" customFormat="1" ht="15">
      <c r="A241" s="88"/>
      <c r="B241" s="122" t="s">
        <v>20</v>
      </c>
      <c r="C241" s="123"/>
      <c r="D241" s="87"/>
      <c r="E241" s="71"/>
      <c r="F241" s="72"/>
      <c r="G241" s="87"/>
      <c r="H241" s="74">
        <v>119799940</v>
      </c>
      <c r="I241" s="74">
        <v>22508000</v>
      </c>
      <c r="J241" s="74">
        <v>15481160</v>
      </c>
      <c r="K241" s="74">
        <f>15481160-5080566</f>
        <v>10400594</v>
      </c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</row>
    <row r="242" spans="1:22" s="66" customFormat="1" ht="15">
      <c r="A242" s="119" t="s">
        <v>18</v>
      </c>
      <c r="B242" s="120"/>
      <c r="C242" s="121"/>
      <c r="D242" s="87"/>
      <c r="E242" s="71"/>
      <c r="F242" s="72"/>
      <c r="G242" s="87"/>
      <c r="H242" s="74">
        <f>H243</f>
        <v>9465990</v>
      </c>
      <c r="I242" s="74">
        <f t="shared" ref="I242:K242" si="95">I243</f>
        <v>492000</v>
      </c>
      <c r="J242" s="74">
        <f t="shared" si="95"/>
        <v>521001</v>
      </c>
      <c r="K242" s="74">
        <f t="shared" si="95"/>
        <v>539497</v>
      </c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</row>
    <row r="243" spans="1:22" s="66" customFormat="1" ht="15">
      <c r="A243" s="88"/>
      <c r="B243" s="122" t="s">
        <v>20</v>
      </c>
      <c r="C243" s="123"/>
      <c r="D243" s="89"/>
      <c r="E243" s="79"/>
      <c r="F243" s="80"/>
      <c r="G243" s="89"/>
      <c r="H243" s="74">
        <v>9465990</v>
      </c>
      <c r="I243" s="74">
        <v>492000</v>
      </c>
      <c r="J243" s="74">
        <v>521001</v>
      </c>
      <c r="K243" s="74">
        <f>521001+18496</f>
        <v>539497</v>
      </c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</row>
    <row r="244" spans="1:22" s="66" customFormat="1" ht="105">
      <c r="A244" s="84">
        <v>14</v>
      </c>
      <c r="B244" s="84" t="s">
        <v>143</v>
      </c>
      <c r="C244" s="84" t="s">
        <v>144</v>
      </c>
      <c r="D244" s="60" t="s">
        <v>47</v>
      </c>
      <c r="E244" s="61" t="s">
        <v>54</v>
      </c>
      <c r="F244" s="62"/>
      <c r="G244" s="85" t="s">
        <v>145</v>
      </c>
      <c r="H244" s="86">
        <f>SUM(H245,H247)</f>
        <v>23961500</v>
      </c>
      <c r="I244" s="86">
        <f t="shared" ref="I244:J244" si="96">SUM(I245,I247)</f>
        <v>6000000</v>
      </c>
      <c r="J244" s="86">
        <f t="shared" si="96"/>
        <v>6000000</v>
      </c>
      <c r="K244" s="86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86">
        <f>18000000-18000000</f>
        <v>0</v>
      </c>
    </row>
    <row r="245" spans="1:22" s="66" customFormat="1" ht="15">
      <c r="A245" s="154" t="s">
        <v>50</v>
      </c>
      <c r="B245" s="120"/>
      <c r="C245" s="121"/>
      <c r="D245" s="70"/>
      <c r="E245" s="71"/>
      <c r="F245" s="72"/>
      <c r="G245" s="87"/>
      <c r="H245" s="74">
        <f>H246</f>
        <v>23961500</v>
      </c>
      <c r="I245" s="74">
        <f t="shared" ref="I245:J245" si="97">I246</f>
        <v>6000000</v>
      </c>
      <c r="J245" s="74">
        <f t="shared" si="97"/>
        <v>6000000</v>
      </c>
      <c r="K245" s="7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</row>
    <row r="246" spans="1:22" s="66" customFormat="1" ht="15">
      <c r="A246" s="155"/>
      <c r="B246" s="122" t="s">
        <v>51</v>
      </c>
      <c r="C246" s="123"/>
      <c r="D246" s="70"/>
      <c r="E246" s="71"/>
      <c r="F246" s="72"/>
      <c r="G246" s="87"/>
      <c r="H246" s="74">
        <f>24000000-38500</f>
        <v>23961500</v>
      </c>
      <c r="I246" s="74">
        <v>6000000</v>
      </c>
      <c r="J246" s="74">
        <v>6000000</v>
      </c>
      <c r="K246" s="7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</row>
    <row r="247" spans="1:22" s="66" customFormat="1" ht="15">
      <c r="A247" s="156" t="s">
        <v>11</v>
      </c>
      <c r="B247" s="120"/>
      <c r="C247" s="121"/>
      <c r="D247" s="78"/>
      <c r="E247" s="79"/>
      <c r="F247" s="80"/>
      <c r="G247" s="89"/>
      <c r="H247" s="74"/>
      <c r="I247" s="74"/>
      <c r="J247" s="74"/>
      <c r="K247" s="7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</row>
    <row r="248" spans="1:22" s="66" customFormat="1" ht="111.75" customHeight="1">
      <c r="A248" s="84">
        <v>15</v>
      </c>
      <c r="B248" s="84" t="s">
        <v>146</v>
      </c>
      <c r="C248" s="84" t="s">
        <v>144</v>
      </c>
      <c r="D248" s="85" t="s">
        <v>47</v>
      </c>
      <c r="E248" s="61" t="s">
        <v>147</v>
      </c>
      <c r="F248" s="62"/>
      <c r="G248" s="85" t="s">
        <v>145</v>
      </c>
      <c r="H248" s="86">
        <f>SUM(H249,H251)</f>
        <v>13300000</v>
      </c>
      <c r="I248" s="86">
        <f>SUM(I249,I251)</f>
        <v>6773000</v>
      </c>
      <c r="J248" s="86">
        <f t="shared" ref="J248:M248" si="98">SUM(J249,J251)</f>
        <v>1631750</v>
      </c>
      <c r="K248" s="86">
        <f t="shared" si="98"/>
        <v>1631750</v>
      </c>
      <c r="L248" s="86">
        <f t="shared" si="98"/>
        <v>1631750</v>
      </c>
      <c r="M248" s="86">
        <f t="shared" si="98"/>
        <v>1631750</v>
      </c>
      <c r="N248" s="142"/>
      <c r="O248" s="142"/>
      <c r="P248" s="142"/>
      <c r="Q248" s="142"/>
      <c r="R248" s="142"/>
      <c r="S248" s="142"/>
      <c r="T248" s="142"/>
      <c r="U248" s="142"/>
      <c r="V248" s="86">
        <v>6527000</v>
      </c>
    </row>
    <row r="249" spans="1:22" s="66" customFormat="1" ht="15">
      <c r="A249" s="119" t="s">
        <v>50</v>
      </c>
      <c r="B249" s="120"/>
      <c r="C249" s="121"/>
      <c r="D249" s="87"/>
      <c r="E249" s="71"/>
      <c r="F249" s="72"/>
      <c r="G249" s="87"/>
      <c r="H249" s="74">
        <f>H250</f>
        <v>13300000</v>
      </c>
      <c r="I249" s="74">
        <f t="shared" ref="I249:M249" si="99">I250</f>
        <v>6773000</v>
      </c>
      <c r="J249" s="74">
        <f t="shared" si="99"/>
        <v>1631750</v>
      </c>
      <c r="K249" s="74">
        <f t="shared" si="99"/>
        <v>1631750</v>
      </c>
      <c r="L249" s="74">
        <f t="shared" si="99"/>
        <v>1631750</v>
      </c>
      <c r="M249" s="74">
        <f t="shared" si="99"/>
        <v>1631750</v>
      </c>
      <c r="N249" s="124"/>
      <c r="O249" s="124"/>
      <c r="P249" s="124"/>
      <c r="Q249" s="124"/>
      <c r="R249" s="124"/>
      <c r="S249" s="124"/>
      <c r="T249" s="124"/>
      <c r="U249" s="124"/>
      <c r="V249" s="124"/>
    </row>
    <row r="250" spans="1:22" s="66" customFormat="1" ht="15">
      <c r="A250" s="88"/>
      <c r="B250" s="76" t="s">
        <v>51</v>
      </c>
      <c r="C250" s="77"/>
      <c r="D250" s="87"/>
      <c r="E250" s="71"/>
      <c r="F250" s="72"/>
      <c r="G250" s="87"/>
      <c r="H250" s="74">
        <v>13300000</v>
      </c>
      <c r="I250" s="74">
        <v>6773000</v>
      </c>
      <c r="J250" s="74">
        <v>1631750</v>
      </c>
      <c r="K250" s="74">
        <v>1631750</v>
      </c>
      <c r="L250" s="74">
        <v>1631750</v>
      </c>
      <c r="M250" s="74">
        <v>1631750</v>
      </c>
      <c r="N250" s="124"/>
      <c r="O250" s="124"/>
      <c r="P250" s="124"/>
      <c r="Q250" s="124"/>
      <c r="R250" s="124"/>
      <c r="S250" s="124"/>
      <c r="T250" s="124"/>
      <c r="U250" s="124"/>
      <c r="V250" s="124"/>
    </row>
    <row r="251" spans="1:22" s="66" customFormat="1" ht="15">
      <c r="A251" s="67" t="s">
        <v>11</v>
      </c>
      <c r="B251" s="68"/>
      <c r="C251" s="69"/>
      <c r="D251" s="89"/>
      <c r="E251" s="79"/>
      <c r="F251" s="80"/>
      <c r="G251" s="89"/>
      <c r="H251" s="74"/>
      <c r="I251" s="74"/>
      <c r="J251" s="74"/>
      <c r="K251" s="7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</row>
    <row r="252" spans="1:22" s="66" customFormat="1" ht="69" customHeight="1">
      <c r="A252" s="84">
        <v>16</v>
      </c>
      <c r="B252" s="84" t="s">
        <v>148</v>
      </c>
      <c r="C252" s="84" t="s">
        <v>149</v>
      </c>
      <c r="D252" s="85" t="s">
        <v>47</v>
      </c>
      <c r="E252" s="61" t="s">
        <v>150</v>
      </c>
      <c r="F252" s="62"/>
      <c r="G252" s="85" t="s">
        <v>100</v>
      </c>
      <c r="H252" s="86">
        <f>SUM(H253,H255)</f>
        <v>3046680</v>
      </c>
      <c r="I252" s="86">
        <f t="shared" ref="I252:U252" si="100">SUM(I253,I255)</f>
        <v>331600</v>
      </c>
      <c r="J252" s="86">
        <f t="shared" si="100"/>
        <v>200000</v>
      </c>
      <c r="K252" s="86">
        <f t="shared" si="100"/>
        <v>200000</v>
      </c>
      <c r="L252" s="86">
        <f t="shared" si="100"/>
        <v>200000</v>
      </c>
      <c r="M252" s="86">
        <f t="shared" si="100"/>
        <v>200000</v>
      </c>
      <c r="N252" s="86">
        <f t="shared" si="100"/>
        <v>200000</v>
      </c>
      <c r="O252" s="86">
        <f t="shared" si="100"/>
        <v>200000</v>
      </c>
      <c r="P252" s="86">
        <f t="shared" si="100"/>
        <v>200000</v>
      </c>
      <c r="Q252" s="86">
        <f t="shared" si="100"/>
        <v>200000</v>
      </c>
      <c r="R252" s="86">
        <f t="shared" si="100"/>
        <v>200000</v>
      </c>
      <c r="S252" s="86">
        <f t="shared" si="100"/>
        <v>200000</v>
      </c>
      <c r="T252" s="86">
        <f t="shared" si="100"/>
        <v>200000</v>
      </c>
      <c r="U252" s="86">
        <f t="shared" si="100"/>
        <v>200000</v>
      </c>
      <c r="V252" s="86">
        <v>400000</v>
      </c>
    </row>
    <row r="253" spans="1:22" s="66" customFormat="1" ht="15">
      <c r="A253" s="119" t="s">
        <v>50</v>
      </c>
      <c r="B253" s="120"/>
      <c r="C253" s="121"/>
      <c r="D253" s="87"/>
      <c r="E253" s="71"/>
      <c r="F253" s="72"/>
      <c r="G253" s="87"/>
      <c r="H253" s="74">
        <f>H254</f>
        <v>3046680</v>
      </c>
      <c r="I253" s="74">
        <f t="shared" ref="I253:U253" si="101">I254</f>
        <v>331600</v>
      </c>
      <c r="J253" s="74">
        <f t="shared" si="101"/>
        <v>200000</v>
      </c>
      <c r="K253" s="74">
        <f t="shared" si="101"/>
        <v>200000</v>
      </c>
      <c r="L253" s="74">
        <f t="shared" si="101"/>
        <v>200000</v>
      </c>
      <c r="M253" s="74">
        <f t="shared" si="101"/>
        <v>200000</v>
      </c>
      <c r="N253" s="74">
        <f t="shared" si="101"/>
        <v>200000</v>
      </c>
      <c r="O253" s="74">
        <f t="shared" si="101"/>
        <v>200000</v>
      </c>
      <c r="P253" s="74">
        <f t="shared" si="101"/>
        <v>200000</v>
      </c>
      <c r="Q253" s="74">
        <f t="shared" si="101"/>
        <v>200000</v>
      </c>
      <c r="R253" s="74">
        <f t="shared" si="101"/>
        <v>200000</v>
      </c>
      <c r="S253" s="74">
        <f t="shared" si="101"/>
        <v>200000</v>
      </c>
      <c r="T253" s="74">
        <f t="shared" si="101"/>
        <v>200000</v>
      </c>
      <c r="U253" s="74">
        <f t="shared" si="101"/>
        <v>200000</v>
      </c>
      <c r="V253" s="124"/>
    </row>
    <row r="254" spans="1:22" s="66" customFormat="1" ht="15">
      <c r="A254" s="155"/>
      <c r="B254" s="122" t="s">
        <v>51</v>
      </c>
      <c r="C254" s="123"/>
      <c r="D254" s="87"/>
      <c r="E254" s="71"/>
      <c r="F254" s="72"/>
      <c r="G254" s="87"/>
      <c r="H254" s="74">
        <v>3046680</v>
      </c>
      <c r="I254" s="74">
        <f>200000+131600</f>
        <v>331600</v>
      </c>
      <c r="J254" s="74">
        <v>200000</v>
      </c>
      <c r="K254" s="74">
        <v>200000</v>
      </c>
      <c r="L254" s="74">
        <v>200000</v>
      </c>
      <c r="M254" s="74">
        <v>200000</v>
      </c>
      <c r="N254" s="74">
        <v>200000</v>
      </c>
      <c r="O254" s="74">
        <v>200000</v>
      </c>
      <c r="P254" s="74">
        <v>200000</v>
      </c>
      <c r="Q254" s="74">
        <v>200000</v>
      </c>
      <c r="R254" s="74">
        <v>200000</v>
      </c>
      <c r="S254" s="74">
        <v>200000</v>
      </c>
      <c r="T254" s="74">
        <v>200000</v>
      </c>
      <c r="U254" s="74">
        <v>200000</v>
      </c>
      <c r="V254" s="124"/>
    </row>
    <row r="255" spans="1:22" s="66" customFormat="1" ht="15">
      <c r="A255" s="119" t="s">
        <v>11</v>
      </c>
      <c r="B255" s="120"/>
      <c r="C255" s="121"/>
      <c r="D255" s="89"/>
      <c r="E255" s="79"/>
      <c r="F255" s="80"/>
      <c r="G255" s="89"/>
      <c r="H255" s="74"/>
      <c r="I255" s="74"/>
      <c r="J255" s="74"/>
      <c r="K255" s="7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</row>
    <row r="256" spans="1:22" s="66" customFormat="1" ht="30">
      <c r="A256" s="84">
        <v>17</v>
      </c>
      <c r="B256" s="84" t="s">
        <v>151</v>
      </c>
      <c r="C256" s="84" t="s">
        <v>152</v>
      </c>
      <c r="D256" s="85" t="s">
        <v>103</v>
      </c>
      <c r="E256" s="61" t="s">
        <v>24</v>
      </c>
      <c r="F256" s="62"/>
      <c r="G256" s="85" t="s">
        <v>153</v>
      </c>
      <c r="H256" s="86">
        <f>SUM(H257,H259)</f>
        <v>3398617</v>
      </c>
      <c r="I256" s="86">
        <f t="shared" ref="I256:K256" si="102">SUM(I257,I259)</f>
        <v>700000</v>
      </c>
      <c r="J256" s="86">
        <f t="shared" si="102"/>
        <v>800000</v>
      </c>
      <c r="K256" s="86">
        <f t="shared" si="102"/>
        <v>800000</v>
      </c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86">
        <v>0</v>
      </c>
    </row>
    <row r="257" spans="1:22" s="66" customFormat="1" ht="15">
      <c r="A257" s="119" t="s">
        <v>50</v>
      </c>
      <c r="B257" s="120"/>
      <c r="C257" s="121"/>
      <c r="D257" s="87"/>
      <c r="E257" s="71"/>
      <c r="F257" s="72"/>
      <c r="G257" s="87"/>
      <c r="H257" s="74">
        <f>H258</f>
        <v>3398617</v>
      </c>
      <c r="I257" s="74">
        <f t="shared" ref="I257:K257" si="103">I258</f>
        <v>700000</v>
      </c>
      <c r="J257" s="74">
        <f t="shared" si="103"/>
        <v>800000</v>
      </c>
      <c r="K257" s="74">
        <f t="shared" si="103"/>
        <v>800000</v>
      </c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</row>
    <row r="258" spans="1:22" s="66" customFormat="1" ht="15">
      <c r="A258" s="155"/>
      <c r="B258" s="122" t="s">
        <v>51</v>
      </c>
      <c r="C258" s="123"/>
      <c r="D258" s="87"/>
      <c r="E258" s="71"/>
      <c r="F258" s="72"/>
      <c r="G258" s="87"/>
      <c r="H258" s="74">
        <f>3400000-1383</f>
        <v>3398617</v>
      </c>
      <c r="I258" s="74">
        <v>700000</v>
      </c>
      <c r="J258" s="74">
        <v>800000</v>
      </c>
      <c r="K258" s="74">
        <v>800000</v>
      </c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</row>
    <row r="259" spans="1:22" s="66" customFormat="1" ht="15">
      <c r="A259" s="119" t="s">
        <v>11</v>
      </c>
      <c r="B259" s="120"/>
      <c r="C259" s="121"/>
      <c r="D259" s="89"/>
      <c r="E259" s="79"/>
      <c r="F259" s="80"/>
      <c r="G259" s="89"/>
      <c r="H259" s="74"/>
      <c r="I259" s="74"/>
      <c r="J259" s="74"/>
      <c r="K259" s="7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</row>
    <row r="260" spans="1:22" ht="75">
      <c r="A260" s="92">
        <v>18</v>
      </c>
      <c r="B260" s="92" t="s">
        <v>154</v>
      </c>
      <c r="C260" s="92" t="s">
        <v>155</v>
      </c>
      <c r="D260" s="94" t="s">
        <v>103</v>
      </c>
      <c r="E260" s="95" t="s">
        <v>156</v>
      </c>
      <c r="F260" s="96"/>
      <c r="G260" s="94" t="s">
        <v>157</v>
      </c>
      <c r="H260" s="98">
        <f>SUM(H261,H263)</f>
        <v>7647248</v>
      </c>
      <c r="I260" s="98">
        <f t="shared" ref="I260:P260" si="104">SUM(I261,I263)</f>
        <v>536500</v>
      </c>
      <c r="J260" s="98">
        <f t="shared" si="104"/>
        <v>536500</v>
      </c>
      <c r="K260" s="98">
        <f t="shared" si="104"/>
        <v>777925</v>
      </c>
      <c r="L260" s="98">
        <f t="shared" si="104"/>
        <v>777925</v>
      </c>
      <c r="M260" s="98">
        <f t="shared" si="104"/>
        <v>777925</v>
      </c>
      <c r="N260" s="98">
        <f t="shared" si="104"/>
        <v>1127991</v>
      </c>
      <c r="O260" s="98">
        <f t="shared" si="104"/>
        <v>1127991</v>
      </c>
      <c r="P260" s="98">
        <f t="shared" si="104"/>
        <v>1127991</v>
      </c>
      <c r="Q260" s="157"/>
      <c r="R260" s="157"/>
      <c r="S260" s="157"/>
      <c r="T260" s="157"/>
      <c r="U260" s="157"/>
      <c r="V260" s="98">
        <v>0</v>
      </c>
    </row>
    <row r="261" spans="1:22" ht="15">
      <c r="A261" s="100" t="s">
        <v>50</v>
      </c>
      <c r="B261" s="101"/>
      <c r="C261" s="102"/>
      <c r="D261" s="103"/>
      <c r="E261" s="104"/>
      <c r="F261" s="105"/>
      <c r="G261" s="103"/>
      <c r="H261" s="23">
        <f>H262</f>
        <v>7647248</v>
      </c>
      <c r="I261" s="23">
        <f t="shared" ref="I261:P261" si="105">I262</f>
        <v>536500</v>
      </c>
      <c r="J261" s="23">
        <f t="shared" si="105"/>
        <v>536500</v>
      </c>
      <c r="K261" s="23">
        <f t="shared" si="105"/>
        <v>777925</v>
      </c>
      <c r="L261" s="23">
        <f t="shared" si="105"/>
        <v>777925</v>
      </c>
      <c r="M261" s="23">
        <f t="shared" si="105"/>
        <v>777925</v>
      </c>
      <c r="N261" s="23">
        <f t="shared" si="105"/>
        <v>1127991</v>
      </c>
      <c r="O261" s="23">
        <f t="shared" si="105"/>
        <v>1127991</v>
      </c>
      <c r="P261" s="23">
        <f t="shared" si="105"/>
        <v>1127991</v>
      </c>
      <c r="Q261" s="23"/>
      <c r="R261" s="23"/>
      <c r="S261" s="110"/>
      <c r="T261" s="110"/>
      <c r="U261" s="110"/>
      <c r="V261" s="110"/>
    </row>
    <row r="262" spans="1:22" ht="15">
      <c r="A262" s="158"/>
      <c r="B262" s="108" t="s">
        <v>51</v>
      </c>
      <c r="C262" s="109"/>
      <c r="D262" s="103"/>
      <c r="E262" s="104"/>
      <c r="F262" s="105"/>
      <c r="G262" s="103"/>
      <c r="H262" s="23">
        <v>7647248</v>
      </c>
      <c r="I262" s="23">
        <v>536500</v>
      </c>
      <c r="J262" s="23">
        <v>536500</v>
      </c>
      <c r="K262" s="23">
        <v>777925</v>
      </c>
      <c r="L262" s="23">
        <v>777925</v>
      </c>
      <c r="M262" s="23">
        <v>777925</v>
      </c>
      <c r="N262" s="23">
        <v>1127991</v>
      </c>
      <c r="O262" s="23">
        <v>1127991</v>
      </c>
      <c r="P262" s="23">
        <v>1127991</v>
      </c>
      <c r="Q262" s="23"/>
      <c r="R262" s="23"/>
      <c r="S262" s="110"/>
      <c r="T262" s="110"/>
      <c r="U262" s="110"/>
      <c r="V262" s="110"/>
    </row>
    <row r="263" spans="1:22" ht="15">
      <c r="A263" s="100" t="s">
        <v>11</v>
      </c>
      <c r="B263" s="101"/>
      <c r="C263" s="102"/>
      <c r="D263" s="115"/>
      <c r="E263" s="116"/>
      <c r="F263" s="117"/>
      <c r="G263" s="115"/>
      <c r="H263" s="23"/>
      <c r="I263" s="23"/>
      <c r="J263" s="23"/>
      <c r="K263" s="23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</row>
    <row r="264" spans="1:22" s="66" customFormat="1" ht="35.25" customHeight="1">
      <c r="A264" s="159">
        <v>19</v>
      </c>
      <c r="B264" s="59" t="s">
        <v>158</v>
      </c>
      <c r="C264" s="127" t="s">
        <v>159</v>
      </c>
      <c r="D264" s="85" t="s">
        <v>99</v>
      </c>
      <c r="E264" s="61" t="s">
        <v>24</v>
      </c>
      <c r="F264" s="62"/>
      <c r="G264" s="85" t="s">
        <v>160</v>
      </c>
      <c r="H264" s="86">
        <f>SUM(H265,H268)</f>
        <v>72812194</v>
      </c>
      <c r="I264" s="86">
        <f t="shared" ref="I264:K264" si="106">SUM(I265,I268)</f>
        <v>17803200</v>
      </c>
      <c r="J264" s="86">
        <f t="shared" si="106"/>
        <v>15506200</v>
      </c>
      <c r="K264" s="86">
        <f t="shared" si="106"/>
        <v>11508000</v>
      </c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86">
        <v>0</v>
      </c>
    </row>
    <row r="265" spans="1:22" s="66" customFormat="1" ht="15">
      <c r="A265" s="119" t="s">
        <v>50</v>
      </c>
      <c r="B265" s="120"/>
      <c r="C265" s="121"/>
      <c r="D265" s="87"/>
      <c r="E265" s="71"/>
      <c r="F265" s="72"/>
      <c r="G265" s="87"/>
      <c r="H265" s="74">
        <f>SUM(H266:H267)</f>
        <v>72812194</v>
      </c>
      <c r="I265" s="74">
        <f t="shared" ref="I265:K265" si="107">SUM(I266:I267)</f>
        <v>17803200</v>
      </c>
      <c r="J265" s="74">
        <f t="shared" si="107"/>
        <v>15506200</v>
      </c>
      <c r="K265" s="74">
        <f t="shared" si="107"/>
        <v>11508000</v>
      </c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</row>
    <row r="266" spans="1:22" s="66" customFormat="1" ht="15">
      <c r="A266" s="155"/>
      <c r="B266" s="122" t="s">
        <v>51</v>
      </c>
      <c r="C266" s="123"/>
      <c r="D266" s="87"/>
      <c r="E266" s="71"/>
      <c r="F266" s="72"/>
      <c r="G266" s="87"/>
      <c r="H266" s="74">
        <v>10051737</v>
      </c>
      <c r="I266" s="74">
        <v>2421078</v>
      </c>
      <c r="J266" s="74">
        <v>2159763</v>
      </c>
      <c r="K266" s="74">
        <v>1726200</v>
      </c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</row>
    <row r="267" spans="1:22" s="66" customFormat="1" ht="15">
      <c r="A267" s="155"/>
      <c r="B267" s="122" t="s">
        <v>20</v>
      </c>
      <c r="C267" s="123"/>
      <c r="D267" s="87"/>
      <c r="E267" s="71"/>
      <c r="F267" s="72"/>
      <c r="G267" s="87"/>
      <c r="H267" s="74">
        <v>62760457</v>
      </c>
      <c r="I267" s="74">
        <v>15382122</v>
      </c>
      <c r="J267" s="74">
        <v>13346437</v>
      </c>
      <c r="K267" s="74">
        <v>9781800</v>
      </c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</row>
    <row r="268" spans="1:22" s="66" customFormat="1" ht="15">
      <c r="A268" s="119" t="s">
        <v>11</v>
      </c>
      <c r="B268" s="120"/>
      <c r="C268" s="121"/>
      <c r="D268" s="89"/>
      <c r="E268" s="79"/>
      <c r="F268" s="80"/>
      <c r="G268" s="89"/>
      <c r="H268" s="74"/>
      <c r="I268" s="74"/>
      <c r="J268" s="74"/>
      <c r="K268" s="74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</row>
    <row r="269" spans="1:22" s="66" customFormat="1" ht="50.25" customHeight="1">
      <c r="A269" s="84">
        <v>20</v>
      </c>
      <c r="B269" s="59" t="s">
        <v>161</v>
      </c>
      <c r="C269" s="127" t="s">
        <v>162</v>
      </c>
      <c r="D269" s="85" t="s">
        <v>163</v>
      </c>
      <c r="E269" s="61" t="s">
        <v>40</v>
      </c>
      <c r="F269" s="62"/>
      <c r="G269" s="85" t="s">
        <v>164</v>
      </c>
      <c r="H269" s="86">
        <f>SUM(H270,H271)</f>
        <v>5805000</v>
      </c>
      <c r="I269" s="86">
        <f t="shared" ref="I269:J269" si="108">SUM(I270:I271)</f>
        <v>3200000</v>
      </c>
      <c r="J269" s="86">
        <f t="shared" si="108"/>
        <v>2159491</v>
      </c>
      <c r="K269" s="86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86">
        <v>0</v>
      </c>
    </row>
    <row r="270" spans="1:22" s="66" customFormat="1" ht="15">
      <c r="A270" s="119" t="s">
        <v>10</v>
      </c>
      <c r="B270" s="120"/>
      <c r="C270" s="121"/>
      <c r="D270" s="87"/>
      <c r="E270" s="71"/>
      <c r="F270" s="72"/>
      <c r="G270" s="87"/>
      <c r="H270" s="74"/>
      <c r="I270" s="74"/>
      <c r="J270" s="74"/>
      <c r="K270" s="7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</row>
    <row r="271" spans="1:22" s="66" customFormat="1" ht="15">
      <c r="A271" s="119" t="s">
        <v>18</v>
      </c>
      <c r="B271" s="120"/>
      <c r="C271" s="121"/>
      <c r="D271" s="87"/>
      <c r="E271" s="71"/>
      <c r="F271" s="72"/>
      <c r="G271" s="87"/>
      <c r="H271" s="74">
        <f>H272</f>
        <v>5805000</v>
      </c>
      <c r="I271" s="74">
        <f>SUM(I272:I272)</f>
        <v>3200000</v>
      </c>
      <c r="J271" s="74">
        <f>SUM(J272:J272)</f>
        <v>2159491</v>
      </c>
      <c r="K271" s="7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</row>
    <row r="272" spans="1:22" s="66" customFormat="1" ht="15">
      <c r="A272" s="155"/>
      <c r="B272" s="122" t="s">
        <v>51</v>
      </c>
      <c r="C272" s="123"/>
      <c r="D272" s="89"/>
      <c r="E272" s="79"/>
      <c r="F272" s="80"/>
      <c r="G272" s="89"/>
      <c r="H272" s="74">
        <v>5805000</v>
      </c>
      <c r="I272" s="74">
        <v>3200000</v>
      </c>
      <c r="J272" s="74">
        <v>2159491</v>
      </c>
      <c r="K272" s="74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</row>
    <row r="273" spans="1:22" ht="15">
      <c r="A273" s="18"/>
      <c r="B273" s="160"/>
      <c r="C273" s="160"/>
      <c r="D273" s="18"/>
      <c r="E273" s="20"/>
      <c r="F273" s="21"/>
      <c r="G273" s="133"/>
      <c r="H273" s="23"/>
      <c r="I273" s="23"/>
      <c r="J273" s="23"/>
      <c r="K273" s="23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</row>
    <row r="274" spans="1:22" s="29" customFormat="1" ht="29.25" customHeight="1">
      <c r="A274" s="24" t="s">
        <v>165</v>
      </c>
      <c r="B274" s="25"/>
      <c r="C274" s="25"/>
      <c r="D274" s="25"/>
      <c r="E274" s="25"/>
      <c r="F274" s="25"/>
      <c r="G274" s="26"/>
      <c r="H274" s="27">
        <f t="shared" ref="H274:U274" si="109">SUM(H275:H276)</f>
        <v>11514542</v>
      </c>
      <c r="I274" s="27">
        <f t="shared" si="109"/>
        <v>4754248</v>
      </c>
      <c r="J274" s="27">
        <f t="shared" si="109"/>
        <v>1831015</v>
      </c>
      <c r="K274" s="27">
        <f t="shared" si="109"/>
        <v>219838</v>
      </c>
      <c r="L274" s="27">
        <f t="shared" si="109"/>
        <v>0</v>
      </c>
      <c r="M274" s="27">
        <f t="shared" si="109"/>
        <v>0</v>
      </c>
      <c r="N274" s="27">
        <f t="shared" si="109"/>
        <v>0</v>
      </c>
      <c r="O274" s="27">
        <f t="shared" si="109"/>
        <v>0</v>
      </c>
      <c r="P274" s="27">
        <f t="shared" si="109"/>
        <v>0</v>
      </c>
      <c r="Q274" s="27">
        <f t="shared" si="109"/>
        <v>0</v>
      </c>
      <c r="R274" s="27">
        <f t="shared" si="109"/>
        <v>0</v>
      </c>
      <c r="S274" s="27">
        <f t="shared" si="109"/>
        <v>0</v>
      </c>
      <c r="T274" s="27">
        <f t="shared" si="109"/>
        <v>0</v>
      </c>
      <c r="U274" s="27">
        <f t="shared" si="109"/>
        <v>0</v>
      </c>
      <c r="V274" s="28">
        <f>SUM(V277,V281,V290,V294,V298,V302,V306,V310,V314,V318,V322,V326,V286,)</f>
        <v>2050853</v>
      </c>
    </row>
    <row r="275" spans="1:22" s="29" customFormat="1" ht="15">
      <c r="A275" s="30" t="s">
        <v>10</v>
      </c>
      <c r="B275" s="31"/>
      <c r="C275" s="32"/>
      <c r="D275" s="33"/>
      <c r="E275" s="34"/>
      <c r="F275" s="35"/>
      <c r="G275" s="36"/>
      <c r="H275" s="27">
        <f>SUM(H278,H282,H295,H299,H303,H307,H311,H315,H319,H323,H327,H291,H287)</f>
        <v>11514542</v>
      </c>
      <c r="I275" s="27">
        <f t="shared" ref="I275:U275" si="110">SUM(I278,I282,I295,I299,I303,I307,I311,I315,I319,I323,I327,I291,I287)</f>
        <v>4754248</v>
      </c>
      <c r="J275" s="27">
        <f t="shared" si="110"/>
        <v>1831015</v>
      </c>
      <c r="K275" s="27">
        <f t="shared" si="110"/>
        <v>219838</v>
      </c>
      <c r="L275" s="27">
        <f t="shared" si="110"/>
        <v>0</v>
      </c>
      <c r="M275" s="27">
        <f t="shared" si="110"/>
        <v>0</v>
      </c>
      <c r="N275" s="27">
        <f t="shared" si="110"/>
        <v>0</v>
      </c>
      <c r="O275" s="27">
        <f t="shared" si="110"/>
        <v>0</v>
      </c>
      <c r="P275" s="27">
        <f t="shared" si="110"/>
        <v>0</v>
      </c>
      <c r="Q275" s="27">
        <f t="shared" si="110"/>
        <v>0</v>
      </c>
      <c r="R275" s="27">
        <f t="shared" si="110"/>
        <v>0</v>
      </c>
      <c r="S275" s="27">
        <f t="shared" si="110"/>
        <v>0</v>
      </c>
      <c r="T275" s="27">
        <f t="shared" si="110"/>
        <v>0</v>
      </c>
      <c r="U275" s="27">
        <f t="shared" si="110"/>
        <v>0</v>
      </c>
      <c r="V275" s="27"/>
    </row>
    <row r="276" spans="1:22" s="29" customFormat="1" ht="15">
      <c r="A276" s="30" t="s">
        <v>11</v>
      </c>
      <c r="B276" s="31"/>
      <c r="C276" s="32"/>
      <c r="D276" s="33"/>
      <c r="E276" s="34"/>
      <c r="F276" s="35"/>
      <c r="G276" s="36"/>
      <c r="H276" s="27">
        <f>SUM(H280)</f>
        <v>0</v>
      </c>
      <c r="I276" s="27">
        <f t="shared" ref="I276:U276" si="111">SUM(I280)</f>
        <v>0</v>
      </c>
      <c r="J276" s="27">
        <f t="shared" si="111"/>
        <v>0</v>
      </c>
      <c r="K276" s="27">
        <f t="shared" si="111"/>
        <v>0</v>
      </c>
      <c r="L276" s="27">
        <f t="shared" si="111"/>
        <v>0</v>
      </c>
      <c r="M276" s="27">
        <f t="shared" si="111"/>
        <v>0</v>
      </c>
      <c r="N276" s="27">
        <f t="shared" si="111"/>
        <v>0</v>
      </c>
      <c r="O276" s="27">
        <f t="shared" si="111"/>
        <v>0</v>
      </c>
      <c r="P276" s="27">
        <f t="shared" si="111"/>
        <v>0</v>
      </c>
      <c r="Q276" s="27">
        <f t="shared" si="111"/>
        <v>0</v>
      </c>
      <c r="R276" s="27">
        <f t="shared" si="111"/>
        <v>0</v>
      </c>
      <c r="S276" s="27">
        <f t="shared" si="111"/>
        <v>0</v>
      </c>
      <c r="T276" s="27">
        <f t="shared" si="111"/>
        <v>0</v>
      </c>
      <c r="U276" s="27">
        <f t="shared" si="111"/>
        <v>0</v>
      </c>
      <c r="V276" s="27"/>
    </row>
    <row r="277" spans="1:22" s="66" customFormat="1" ht="45">
      <c r="A277" s="84">
        <v>1</v>
      </c>
      <c r="B277" s="84" t="s">
        <v>166</v>
      </c>
      <c r="C277" s="84" t="s">
        <v>167</v>
      </c>
      <c r="D277" s="85" t="s">
        <v>47</v>
      </c>
      <c r="E277" s="61" t="s">
        <v>54</v>
      </c>
      <c r="F277" s="62"/>
      <c r="G277" s="85" t="s">
        <v>85</v>
      </c>
      <c r="H277" s="86">
        <f>SUM(H278,H280)</f>
        <v>4937400</v>
      </c>
      <c r="I277" s="86">
        <f t="shared" ref="I277:J277" si="112">SUM(I278,I280)</f>
        <v>2594200</v>
      </c>
      <c r="J277" s="86">
        <f t="shared" si="112"/>
        <v>124200</v>
      </c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>
        <v>124200</v>
      </c>
    </row>
    <row r="278" spans="1:22" s="66" customFormat="1" ht="15">
      <c r="A278" s="119" t="s">
        <v>50</v>
      </c>
      <c r="B278" s="120"/>
      <c r="C278" s="121"/>
      <c r="D278" s="87"/>
      <c r="E278" s="71"/>
      <c r="F278" s="72"/>
      <c r="G278" s="87"/>
      <c r="H278" s="74">
        <f t="shared" ref="H278:J278" si="113">SUM(H279:H279)</f>
        <v>4937400</v>
      </c>
      <c r="I278" s="74">
        <f t="shared" si="113"/>
        <v>2594200</v>
      </c>
      <c r="J278" s="74">
        <f t="shared" si="113"/>
        <v>124200</v>
      </c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</row>
    <row r="279" spans="1:22" s="66" customFormat="1" ht="15">
      <c r="A279" s="88"/>
      <c r="B279" s="76" t="s">
        <v>51</v>
      </c>
      <c r="C279" s="77"/>
      <c r="D279" s="87"/>
      <c r="E279" s="71"/>
      <c r="F279" s="72"/>
      <c r="G279" s="87"/>
      <c r="H279" s="74">
        <v>4937400</v>
      </c>
      <c r="I279" s="74">
        <v>2594200</v>
      </c>
      <c r="J279" s="74">
        <v>124200</v>
      </c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</row>
    <row r="280" spans="1:22" s="66" customFormat="1" ht="15">
      <c r="A280" s="67" t="s">
        <v>11</v>
      </c>
      <c r="B280" s="68"/>
      <c r="C280" s="69"/>
      <c r="D280" s="89"/>
      <c r="E280" s="79"/>
      <c r="F280" s="80"/>
      <c r="G280" s="89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</row>
    <row r="281" spans="1:22" ht="78" customHeight="1">
      <c r="A281" s="92">
        <v>2</v>
      </c>
      <c r="B281" s="92" t="s">
        <v>168</v>
      </c>
      <c r="C281" s="92" t="s">
        <v>167</v>
      </c>
      <c r="D281" s="161" t="s">
        <v>109</v>
      </c>
      <c r="E281" s="162" t="s">
        <v>54</v>
      </c>
      <c r="F281" s="163"/>
      <c r="G281" s="161" t="s">
        <v>169</v>
      </c>
      <c r="H281" s="98">
        <f>SUM(H282,H285)</f>
        <v>3869021</v>
      </c>
      <c r="I281" s="98">
        <f t="shared" ref="I281:J281" si="114">SUM(I282,I285)</f>
        <v>986819</v>
      </c>
      <c r="J281" s="98">
        <f t="shared" si="114"/>
        <v>966232</v>
      </c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9">
        <v>966232</v>
      </c>
    </row>
    <row r="282" spans="1:22" ht="15">
      <c r="A282" s="100" t="s">
        <v>50</v>
      </c>
      <c r="B282" s="101"/>
      <c r="C282" s="102"/>
      <c r="D282" s="164"/>
      <c r="E282" s="165"/>
      <c r="F282" s="166"/>
      <c r="G282" s="164"/>
      <c r="H282" s="23">
        <f>SUM(H283:H284)</f>
        <v>3869021</v>
      </c>
      <c r="I282" s="23">
        <f t="shared" ref="I282:J282" si="115">SUM(I283:I284)</f>
        <v>986819</v>
      </c>
      <c r="J282" s="23">
        <f t="shared" si="115"/>
        <v>966232</v>
      </c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42"/>
    </row>
    <row r="283" spans="1:22" ht="15">
      <c r="A283" s="158"/>
      <c r="B283" s="108" t="s">
        <v>51</v>
      </c>
      <c r="C283" s="109"/>
      <c r="D283" s="164"/>
      <c r="E283" s="165"/>
      <c r="F283" s="166"/>
      <c r="G283" s="164"/>
      <c r="H283" s="23">
        <v>983895</v>
      </c>
      <c r="I283" s="23">
        <v>258539</v>
      </c>
      <c r="J283" s="23">
        <v>223386</v>
      </c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42"/>
    </row>
    <row r="284" spans="1:22" ht="15">
      <c r="A284" s="158"/>
      <c r="B284" s="108" t="s">
        <v>20</v>
      </c>
      <c r="C284" s="109"/>
      <c r="D284" s="164"/>
      <c r="E284" s="165"/>
      <c r="F284" s="166"/>
      <c r="G284" s="164"/>
      <c r="H284" s="23">
        <v>2885126</v>
      </c>
      <c r="I284" s="23">
        <v>728280</v>
      </c>
      <c r="J284" s="23">
        <v>742846</v>
      </c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42"/>
    </row>
    <row r="285" spans="1:22" ht="15">
      <c r="A285" s="150" t="s">
        <v>11</v>
      </c>
      <c r="B285" s="151"/>
      <c r="C285" s="152"/>
      <c r="D285" s="167"/>
      <c r="E285" s="168"/>
      <c r="F285" s="169"/>
      <c r="G285" s="167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42"/>
    </row>
    <row r="286" spans="1:22" s="66" customFormat="1" ht="60">
      <c r="A286" s="84">
        <v>3</v>
      </c>
      <c r="B286" s="84" t="s">
        <v>170</v>
      </c>
      <c r="C286" s="84" t="s">
        <v>167</v>
      </c>
      <c r="D286" s="85" t="s">
        <v>171</v>
      </c>
      <c r="E286" s="61" t="s">
        <v>69</v>
      </c>
      <c r="F286" s="62"/>
      <c r="G286" s="85" t="s">
        <v>172</v>
      </c>
      <c r="H286" s="86">
        <f>SUM(H287,H289)</f>
        <v>215320</v>
      </c>
      <c r="I286" s="86">
        <f t="shared" ref="I286:J286" si="116">SUM(I287,I289)</f>
        <v>71770</v>
      </c>
      <c r="J286" s="86">
        <f t="shared" si="116"/>
        <v>73850</v>
      </c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>
        <v>73850</v>
      </c>
    </row>
    <row r="287" spans="1:22" s="66" customFormat="1" ht="15">
      <c r="A287" s="119" t="s">
        <v>50</v>
      </c>
      <c r="B287" s="120"/>
      <c r="C287" s="121"/>
      <c r="D287" s="87"/>
      <c r="E287" s="71"/>
      <c r="F287" s="72"/>
      <c r="G287" s="87"/>
      <c r="H287" s="74">
        <f>SUM(H288)</f>
        <v>215320</v>
      </c>
      <c r="I287" s="74">
        <f t="shared" ref="I287:J287" si="117">SUM(I288)</f>
        <v>71770</v>
      </c>
      <c r="J287" s="74">
        <f t="shared" si="117"/>
        <v>73850</v>
      </c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</row>
    <row r="288" spans="1:22" s="66" customFormat="1" ht="15">
      <c r="A288" s="88"/>
      <c r="B288" s="76" t="s">
        <v>51</v>
      </c>
      <c r="C288" s="77"/>
      <c r="D288" s="87"/>
      <c r="E288" s="71"/>
      <c r="F288" s="72"/>
      <c r="G288" s="87"/>
      <c r="H288" s="74">
        <v>215320</v>
      </c>
      <c r="I288" s="74">
        <v>71770</v>
      </c>
      <c r="J288" s="74">
        <v>73850</v>
      </c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</row>
    <row r="289" spans="1:22" s="66" customFormat="1" ht="15">
      <c r="A289" s="67" t="s">
        <v>11</v>
      </c>
      <c r="B289" s="68"/>
      <c r="C289" s="69"/>
      <c r="D289" s="89"/>
      <c r="E289" s="79"/>
      <c r="F289" s="80"/>
      <c r="G289" s="89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</row>
    <row r="290" spans="1:22" s="66" customFormat="1" ht="60">
      <c r="A290" s="84">
        <v>4</v>
      </c>
      <c r="B290" s="84" t="s">
        <v>173</v>
      </c>
      <c r="C290" s="84" t="s">
        <v>167</v>
      </c>
      <c r="D290" s="85" t="s">
        <v>174</v>
      </c>
      <c r="E290" s="61" t="s">
        <v>24</v>
      </c>
      <c r="F290" s="62"/>
      <c r="G290" s="85" t="s">
        <v>175</v>
      </c>
      <c r="H290" s="86">
        <f>SUM(H291,H293)</f>
        <v>36206</v>
      </c>
      <c r="I290" s="86">
        <f t="shared" ref="I290:K290" si="118">SUM(I291,I293)</f>
        <v>8914</v>
      </c>
      <c r="J290" s="86">
        <f t="shared" si="118"/>
        <v>9181</v>
      </c>
      <c r="K290" s="86">
        <f t="shared" si="118"/>
        <v>9457</v>
      </c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>
        <v>18638</v>
      </c>
    </row>
    <row r="291" spans="1:22" s="66" customFormat="1" ht="15">
      <c r="A291" s="119" t="s">
        <v>50</v>
      </c>
      <c r="B291" s="120"/>
      <c r="C291" s="121"/>
      <c r="D291" s="87"/>
      <c r="E291" s="71"/>
      <c r="F291" s="72"/>
      <c r="G291" s="87"/>
      <c r="H291" s="74">
        <f>SUM(H292)</f>
        <v>36206</v>
      </c>
      <c r="I291" s="74">
        <f t="shared" ref="I291:K291" si="119">SUM(I292)</f>
        <v>8914</v>
      </c>
      <c r="J291" s="74">
        <f t="shared" si="119"/>
        <v>9181</v>
      </c>
      <c r="K291" s="74">
        <f t="shared" si="119"/>
        <v>9457</v>
      </c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</row>
    <row r="292" spans="1:22" s="66" customFormat="1" ht="15">
      <c r="A292" s="88"/>
      <c r="B292" s="76" t="s">
        <v>51</v>
      </c>
      <c r="C292" s="77"/>
      <c r="D292" s="87"/>
      <c r="E292" s="71"/>
      <c r="F292" s="72"/>
      <c r="G292" s="87"/>
      <c r="H292" s="74">
        <v>36206</v>
      </c>
      <c r="I292" s="74">
        <v>8914</v>
      </c>
      <c r="J292" s="74">
        <v>9181</v>
      </c>
      <c r="K292" s="74">
        <v>9457</v>
      </c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</row>
    <row r="293" spans="1:22" s="66" customFormat="1" ht="15">
      <c r="A293" s="67" t="s">
        <v>11</v>
      </c>
      <c r="B293" s="68"/>
      <c r="C293" s="69"/>
      <c r="D293" s="89"/>
      <c r="E293" s="79"/>
      <c r="F293" s="80"/>
      <c r="G293" s="89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</row>
    <row r="294" spans="1:22" s="172" customFormat="1" ht="57" customHeight="1">
      <c r="A294" s="92">
        <v>5</v>
      </c>
      <c r="B294" s="92" t="s">
        <v>176</v>
      </c>
      <c r="C294" s="92" t="s">
        <v>167</v>
      </c>
      <c r="D294" s="161" t="s">
        <v>177</v>
      </c>
      <c r="E294" s="162" t="s">
        <v>178</v>
      </c>
      <c r="F294" s="163"/>
      <c r="G294" s="161" t="s">
        <v>179</v>
      </c>
      <c r="H294" s="170">
        <f>H295+H297</f>
        <v>36088</v>
      </c>
      <c r="I294" s="170">
        <f t="shared" ref="I294:J294" si="120">I295+I297</f>
        <v>17901</v>
      </c>
      <c r="J294" s="170">
        <f t="shared" si="120"/>
        <v>286</v>
      </c>
      <c r="K294" s="170"/>
      <c r="L294" s="171"/>
      <c r="M294" s="171"/>
      <c r="N294" s="171"/>
      <c r="O294" s="171"/>
      <c r="P294" s="171"/>
      <c r="Q294" s="171"/>
      <c r="R294" s="171"/>
      <c r="S294" s="171"/>
      <c r="T294" s="171"/>
      <c r="U294" s="171"/>
      <c r="V294" s="148">
        <v>286</v>
      </c>
    </row>
    <row r="295" spans="1:22" s="172" customFormat="1" ht="15">
      <c r="A295" s="100" t="s">
        <v>50</v>
      </c>
      <c r="B295" s="101"/>
      <c r="C295" s="102"/>
      <c r="D295" s="164"/>
      <c r="E295" s="165"/>
      <c r="F295" s="166"/>
      <c r="G295" s="164"/>
      <c r="H295" s="23">
        <f>H296</f>
        <v>36088</v>
      </c>
      <c r="I295" s="23">
        <f t="shared" ref="I295:J295" si="121">SUM(I296)</f>
        <v>17901</v>
      </c>
      <c r="J295" s="23">
        <f t="shared" si="121"/>
        <v>286</v>
      </c>
      <c r="K295" s="23"/>
      <c r="L295" s="171"/>
      <c r="M295" s="171"/>
      <c r="N295" s="171"/>
      <c r="O295" s="171"/>
      <c r="P295" s="171"/>
      <c r="Q295" s="171"/>
      <c r="R295" s="171"/>
      <c r="S295" s="171"/>
      <c r="T295" s="171"/>
      <c r="U295" s="171"/>
      <c r="V295" s="148"/>
    </row>
    <row r="296" spans="1:22" s="172" customFormat="1" ht="15">
      <c r="A296" s="107"/>
      <c r="B296" s="113" t="s">
        <v>51</v>
      </c>
      <c r="C296" s="114"/>
      <c r="D296" s="164"/>
      <c r="E296" s="165"/>
      <c r="F296" s="166"/>
      <c r="G296" s="164"/>
      <c r="H296" s="23">
        <v>36088</v>
      </c>
      <c r="I296" s="23">
        <v>17901</v>
      </c>
      <c r="J296" s="23">
        <v>286</v>
      </c>
      <c r="K296" s="23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48"/>
    </row>
    <row r="297" spans="1:22" s="172" customFormat="1" ht="15">
      <c r="A297" s="150" t="s">
        <v>11</v>
      </c>
      <c r="B297" s="151"/>
      <c r="C297" s="152"/>
      <c r="D297" s="167"/>
      <c r="E297" s="168"/>
      <c r="F297" s="169"/>
      <c r="G297" s="167"/>
      <c r="H297" s="23"/>
      <c r="I297" s="23"/>
      <c r="J297" s="23"/>
      <c r="K297" s="23"/>
      <c r="L297" s="171"/>
      <c r="M297" s="171"/>
      <c r="N297" s="171"/>
      <c r="O297" s="171"/>
      <c r="P297" s="171"/>
      <c r="Q297" s="171"/>
      <c r="R297" s="171"/>
      <c r="S297" s="171"/>
      <c r="T297" s="171"/>
      <c r="U297" s="171"/>
      <c r="V297" s="148"/>
    </row>
    <row r="298" spans="1:22" s="172" customFormat="1" ht="68.25" customHeight="1">
      <c r="A298" s="92">
        <v>6</v>
      </c>
      <c r="B298" s="92" t="s">
        <v>180</v>
      </c>
      <c r="C298" s="92" t="s">
        <v>167</v>
      </c>
      <c r="D298" s="161" t="s">
        <v>181</v>
      </c>
      <c r="E298" s="162" t="s">
        <v>178</v>
      </c>
      <c r="F298" s="163"/>
      <c r="G298" s="161" t="s">
        <v>179</v>
      </c>
      <c r="H298" s="170">
        <f>H299+H301</f>
        <v>13800</v>
      </c>
      <c r="I298" s="170">
        <f t="shared" ref="I298:J298" si="122">I299+I301</f>
        <v>4600</v>
      </c>
      <c r="J298" s="170">
        <f t="shared" si="122"/>
        <v>4600</v>
      </c>
      <c r="K298" s="170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48">
        <v>4600</v>
      </c>
    </row>
    <row r="299" spans="1:22" s="172" customFormat="1" ht="15">
      <c r="A299" s="100" t="s">
        <v>50</v>
      </c>
      <c r="B299" s="101"/>
      <c r="C299" s="102"/>
      <c r="D299" s="164"/>
      <c r="E299" s="165"/>
      <c r="F299" s="166"/>
      <c r="G299" s="164"/>
      <c r="H299" s="23">
        <f t="shared" ref="H299:J299" si="123">SUM(H300)</f>
        <v>13800</v>
      </c>
      <c r="I299" s="23">
        <f t="shared" si="123"/>
        <v>4600</v>
      </c>
      <c r="J299" s="23">
        <f t="shared" si="123"/>
        <v>4600</v>
      </c>
      <c r="K299" s="23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48"/>
    </row>
    <row r="300" spans="1:22" s="172" customFormat="1" ht="15">
      <c r="A300" s="107"/>
      <c r="B300" s="113" t="s">
        <v>51</v>
      </c>
      <c r="C300" s="114"/>
      <c r="D300" s="164"/>
      <c r="E300" s="165"/>
      <c r="F300" s="166"/>
      <c r="G300" s="164"/>
      <c r="H300" s="23">
        <v>13800</v>
      </c>
      <c r="I300" s="23">
        <v>4600</v>
      </c>
      <c r="J300" s="23">
        <v>4600</v>
      </c>
      <c r="K300" s="23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48"/>
    </row>
    <row r="301" spans="1:22" s="172" customFormat="1" ht="15">
      <c r="A301" s="150" t="s">
        <v>11</v>
      </c>
      <c r="B301" s="151"/>
      <c r="C301" s="152"/>
      <c r="D301" s="167"/>
      <c r="E301" s="168"/>
      <c r="F301" s="169"/>
      <c r="G301" s="167"/>
      <c r="H301" s="23"/>
      <c r="I301" s="23"/>
      <c r="J301" s="23"/>
      <c r="K301" s="23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48"/>
    </row>
    <row r="302" spans="1:22" s="172" customFormat="1" ht="64.5" customHeight="1">
      <c r="A302" s="92">
        <v>7</v>
      </c>
      <c r="B302" s="92" t="s">
        <v>182</v>
      </c>
      <c r="C302" s="92" t="s">
        <v>167</v>
      </c>
      <c r="D302" s="161" t="s">
        <v>183</v>
      </c>
      <c r="E302" s="162" t="s">
        <v>178</v>
      </c>
      <c r="F302" s="163"/>
      <c r="G302" s="161" t="s">
        <v>184</v>
      </c>
      <c r="H302" s="170">
        <f>H303+H305</f>
        <v>148157</v>
      </c>
      <c r="I302" s="170">
        <f t="shared" ref="I302:J302" si="124">I303+I305</f>
        <v>49371</v>
      </c>
      <c r="J302" s="170">
        <f t="shared" si="124"/>
        <v>50852</v>
      </c>
      <c r="K302" s="170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48">
        <v>50852</v>
      </c>
    </row>
    <row r="303" spans="1:22" s="172" customFormat="1" ht="15">
      <c r="A303" s="100" t="s">
        <v>50</v>
      </c>
      <c r="B303" s="101"/>
      <c r="C303" s="102"/>
      <c r="D303" s="164"/>
      <c r="E303" s="165"/>
      <c r="F303" s="166"/>
      <c r="G303" s="164"/>
      <c r="H303" s="23">
        <f t="shared" ref="H303:J303" si="125">H304</f>
        <v>148157</v>
      </c>
      <c r="I303" s="23">
        <f t="shared" si="125"/>
        <v>49371</v>
      </c>
      <c r="J303" s="23">
        <f t="shared" si="125"/>
        <v>50852</v>
      </c>
      <c r="K303" s="23"/>
      <c r="L303" s="171"/>
      <c r="M303" s="171"/>
      <c r="N303" s="171"/>
      <c r="O303" s="171"/>
      <c r="P303" s="171"/>
      <c r="Q303" s="171"/>
      <c r="R303" s="171"/>
      <c r="S303" s="171"/>
      <c r="T303" s="171"/>
      <c r="U303" s="171"/>
      <c r="V303" s="148"/>
    </row>
    <row r="304" spans="1:22" s="172" customFormat="1" ht="15">
      <c r="A304" s="107"/>
      <c r="B304" s="113" t="s">
        <v>51</v>
      </c>
      <c r="C304" s="114"/>
      <c r="D304" s="164"/>
      <c r="E304" s="165"/>
      <c r="F304" s="166"/>
      <c r="G304" s="164"/>
      <c r="H304" s="23">
        <v>148157</v>
      </c>
      <c r="I304" s="23">
        <v>49371</v>
      </c>
      <c r="J304" s="23">
        <v>50852</v>
      </c>
      <c r="K304" s="23"/>
      <c r="L304" s="171"/>
      <c r="M304" s="171"/>
      <c r="N304" s="171"/>
      <c r="O304" s="171"/>
      <c r="P304" s="171"/>
      <c r="Q304" s="171"/>
      <c r="R304" s="171"/>
      <c r="S304" s="171"/>
      <c r="T304" s="171"/>
      <c r="U304" s="171"/>
      <c r="V304" s="148"/>
    </row>
    <row r="305" spans="1:22" s="172" customFormat="1" ht="15">
      <c r="A305" s="150" t="s">
        <v>11</v>
      </c>
      <c r="B305" s="151"/>
      <c r="C305" s="152"/>
      <c r="D305" s="167"/>
      <c r="E305" s="168"/>
      <c r="F305" s="169"/>
      <c r="G305" s="167"/>
      <c r="H305" s="23"/>
      <c r="I305" s="23"/>
      <c r="J305" s="23"/>
      <c r="K305" s="23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48"/>
    </row>
    <row r="306" spans="1:22" s="172" customFormat="1" ht="60">
      <c r="A306" s="92">
        <v>8</v>
      </c>
      <c r="B306" s="92" t="s">
        <v>185</v>
      </c>
      <c r="C306" s="92" t="s">
        <v>167</v>
      </c>
      <c r="D306" s="161" t="s">
        <v>186</v>
      </c>
      <c r="E306" s="162" t="s">
        <v>178</v>
      </c>
      <c r="F306" s="163"/>
      <c r="G306" s="161" t="s">
        <v>184</v>
      </c>
      <c r="H306" s="170">
        <f>H307+H309</f>
        <v>100304</v>
      </c>
      <c r="I306" s="170">
        <f t="shared" ref="I306:J306" si="126">I307+I309</f>
        <v>33424</v>
      </c>
      <c r="J306" s="170">
        <f t="shared" si="126"/>
        <v>34430</v>
      </c>
      <c r="K306" s="170"/>
      <c r="L306" s="171"/>
      <c r="M306" s="171"/>
      <c r="N306" s="171"/>
      <c r="O306" s="171"/>
      <c r="P306" s="171"/>
      <c r="Q306" s="171"/>
      <c r="R306" s="171"/>
      <c r="S306" s="171"/>
      <c r="T306" s="171"/>
      <c r="U306" s="171"/>
      <c r="V306" s="148">
        <v>34430</v>
      </c>
    </row>
    <row r="307" spans="1:22" s="172" customFormat="1" ht="15">
      <c r="A307" s="100" t="s">
        <v>50</v>
      </c>
      <c r="B307" s="101"/>
      <c r="C307" s="102"/>
      <c r="D307" s="164"/>
      <c r="E307" s="165"/>
      <c r="F307" s="166"/>
      <c r="G307" s="164"/>
      <c r="H307" s="23">
        <f t="shared" ref="H307:J307" si="127">H308</f>
        <v>100304</v>
      </c>
      <c r="I307" s="23">
        <f t="shared" si="127"/>
        <v>33424</v>
      </c>
      <c r="J307" s="23">
        <f t="shared" si="127"/>
        <v>34430</v>
      </c>
      <c r="K307" s="23"/>
      <c r="L307" s="171"/>
      <c r="M307" s="171"/>
      <c r="N307" s="171"/>
      <c r="O307" s="171"/>
      <c r="P307" s="171"/>
      <c r="Q307" s="171"/>
      <c r="R307" s="171"/>
      <c r="S307" s="171"/>
      <c r="T307" s="171"/>
      <c r="U307" s="171"/>
      <c r="V307" s="148"/>
    </row>
    <row r="308" spans="1:22" s="172" customFormat="1" ht="15">
      <c r="A308" s="107"/>
      <c r="B308" s="113" t="s">
        <v>51</v>
      </c>
      <c r="C308" s="114"/>
      <c r="D308" s="164"/>
      <c r="E308" s="165"/>
      <c r="F308" s="166"/>
      <c r="G308" s="164"/>
      <c r="H308" s="23">
        <v>100304</v>
      </c>
      <c r="I308" s="23">
        <v>33424</v>
      </c>
      <c r="J308" s="23">
        <v>34430</v>
      </c>
      <c r="K308" s="23"/>
      <c r="L308" s="171"/>
      <c r="M308" s="171"/>
      <c r="N308" s="171"/>
      <c r="O308" s="171"/>
      <c r="P308" s="171"/>
      <c r="Q308" s="171"/>
      <c r="R308" s="171"/>
      <c r="S308" s="171"/>
      <c r="T308" s="171"/>
      <c r="U308" s="171"/>
      <c r="V308" s="148"/>
    </row>
    <row r="309" spans="1:22" s="172" customFormat="1" ht="15">
      <c r="A309" s="150" t="s">
        <v>11</v>
      </c>
      <c r="B309" s="151"/>
      <c r="C309" s="152"/>
      <c r="D309" s="167"/>
      <c r="E309" s="168"/>
      <c r="F309" s="169"/>
      <c r="G309" s="167"/>
      <c r="H309" s="23"/>
      <c r="I309" s="23"/>
      <c r="J309" s="23"/>
      <c r="K309" s="23"/>
      <c r="L309" s="171"/>
      <c r="M309" s="171"/>
      <c r="N309" s="171"/>
      <c r="O309" s="171"/>
      <c r="P309" s="171"/>
      <c r="Q309" s="171"/>
      <c r="R309" s="171"/>
      <c r="S309" s="171"/>
      <c r="T309" s="171"/>
      <c r="U309" s="171"/>
      <c r="V309" s="148"/>
    </row>
    <row r="310" spans="1:22" s="172" customFormat="1" ht="60">
      <c r="A310" s="92">
        <v>9</v>
      </c>
      <c r="B310" s="92" t="s">
        <v>187</v>
      </c>
      <c r="C310" s="92" t="s">
        <v>167</v>
      </c>
      <c r="D310" s="161" t="s">
        <v>188</v>
      </c>
      <c r="E310" s="162" t="s">
        <v>189</v>
      </c>
      <c r="F310" s="163"/>
      <c r="G310" s="161" t="s">
        <v>184</v>
      </c>
      <c r="H310" s="170">
        <f>H311+H313</f>
        <v>39744</v>
      </c>
      <c r="I310" s="170">
        <f t="shared" ref="I310:K310" si="128">I311+I313</f>
        <v>9785</v>
      </c>
      <c r="J310" s="170">
        <f t="shared" si="128"/>
        <v>10078</v>
      </c>
      <c r="K310" s="170">
        <f t="shared" si="128"/>
        <v>10381</v>
      </c>
      <c r="L310" s="171"/>
      <c r="M310" s="171"/>
      <c r="N310" s="171"/>
      <c r="O310" s="171"/>
      <c r="P310" s="171"/>
      <c r="Q310" s="171"/>
      <c r="R310" s="171"/>
      <c r="S310" s="171"/>
      <c r="T310" s="171"/>
      <c r="U310" s="171"/>
      <c r="V310" s="148">
        <v>20459</v>
      </c>
    </row>
    <row r="311" spans="1:22" s="172" customFormat="1" ht="15">
      <c r="A311" s="100" t="s">
        <v>50</v>
      </c>
      <c r="B311" s="101"/>
      <c r="C311" s="102"/>
      <c r="D311" s="164"/>
      <c r="E311" s="165"/>
      <c r="F311" s="166"/>
      <c r="G311" s="164"/>
      <c r="H311" s="23">
        <f t="shared" ref="H311:K311" si="129">H312</f>
        <v>39744</v>
      </c>
      <c r="I311" s="23">
        <f t="shared" si="129"/>
        <v>9785</v>
      </c>
      <c r="J311" s="23">
        <f t="shared" si="129"/>
        <v>10078</v>
      </c>
      <c r="K311" s="23">
        <f t="shared" si="129"/>
        <v>10381</v>
      </c>
      <c r="L311" s="171"/>
      <c r="M311" s="171"/>
      <c r="N311" s="171"/>
      <c r="O311" s="171"/>
      <c r="P311" s="171"/>
      <c r="Q311" s="171"/>
      <c r="R311" s="171"/>
      <c r="S311" s="171"/>
      <c r="T311" s="171"/>
      <c r="U311" s="171"/>
      <c r="V311" s="148"/>
    </row>
    <row r="312" spans="1:22" s="172" customFormat="1" ht="15">
      <c r="A312" s="107"/>
      <c r="B312" s="113" t="s">
        <v>51</v>
      </c>
      <c r="C312" s="114"/>
      <c r="D312" s="164"/>
      <c r="E312" s="165"/>
      <c r="F312" s="166"/>
      <c r="G312" s="164"/>
      <c r="H312" s="23">
        <v>39744</v>
      </c>
      <c r="I312" s="23">
        <v>9785</v>
      </c>
      <c r="J312" s="23">
        <v>10078</v>
      </c>
      <c r="K312" s="23">
        <v>10381</v>
      </c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48"/>
    </row>
    <row r="313" spans="1:22" s="172" customFormat="1" ht="15.75" customHeight="1">
      <c r="A313" s="150" t="s">
        <v>11</v>
      </c>
      <c r="B313" s="151"/>
      <c r="C313" s="152"/>
      <c r="D313" s="167"/>
      <c r="E313" s="168"/>
      <c r="F313" s="169"/>
      <c r="G313" s="167"/>
      <c r="H313" s="23"/>
      <c r="I313" s="23"/>
      <c r="J313" s="23"/>
      <c r="K313" s="23"/>
      <c r="L313" s="171"/>
      <c r="M313" s="171"/>
      <c r="N313" s="171"/>
      <c r="O313" s="171"/>
      <c r="P313" s="171"/>
      <c r="Q313" s="171"/>
      <c r="R313" s="171"/>
      <c r="S313" s="171"/>
      <c r="T313" s="171"/>
      <c r="U313" s="171"/>
      <c r="V313" s="148"/>
    </row>
    <row r="314" spans="1:22" s="172" customFormat="1" ht="60">
      <c r="A314" s="92">
        <v>10</v>
      </c>
      <c r="B314" s="92" t="s">
        <v>190</v>
      </c>
      <c r="C314" s="92" t="s">
        <v>167</v>
      </c>
      <c r="D314" s="161" t="s">
        <v>191</v>
      </c>
      <c r="E314" s="162" t="s">
        <v>178</v>
      </c>
      <c r="F314" s="163"/>
      <c r="G314" s="161" t="s">
        <v>192</v>
      </c>
      <c r="H314" s="170">
        <f>H315+H317</f>
        <v>319872</v>
      </c>
      <c r="I314" s="170">
        <f t="shared" ref="I314:J314" si="130">I315+I317</f>
        <v>114390</v>
      </c>
      <c r="J314" s="170">
        <f t="shared" si="130"/>
        <v>94460</v>
      </c>
      <c r="K314" s="170"/>
      <c r="L314" s="171"/>
      <c r="M314" s="171"/>
      <c r="N314" s="171"/>
      <c r="O314" s="171"/>
      <c r="P314" s="171"/>
      <c r="Q314" s="171"/>
      <c r="R314" s="171"/>
      <c r="S314" s="171"/>
      <c r="T314" s="171"/>
      <c r="U314" s="171"/>
      <c r="V314" s="148">
        <v>94460</v>
      </c>
    </row>
    <row r="315" spans="1:22" s="172" customFormat="1" ht="15">
      <c r="A315" s="100" t="s">
        <v>50</v>
      </c>
      <c r="B315" s="101"/>
      <c r="C315" s="102"/>
      <c r="D315" s="164"/>
      <c r="E315" s="165"/>
      <c r="F315" s="166"/>
      <c r="G315" s="164"/>
      <c r="H315" s="23">
        <f t="shared" ref="H315:J315" si="131">H316</f>
        <v>319872</v>
      </c>
      <c r="I315" s="23">
        <f t="shared" si="131"/>
        <v>114390</v>
      </c>
      <c r="J315" s="23">
        <f t="shared" si="131"/>
        <v>94460</v>
      </c>
      <c r="K315" s="23"/>
      <c r="L315" s="171"/>
      <c r="M315" s="171"/>
      <c r="N315" s="171"/>
      <c r="O315" s="171"/>
      <c r="P315" s="171"/>
      <c r="Q315" s="171"/>
      <c r="R315" s="171"/>
      <c r="S315" s="171"/>
      <c r="T315" s="171"/>
      <c r="U315" s="171"/>
      <c r="V315" s="148"/>
    </row>
    <row r="316" spans="1:22" s="172" customFormat="1" ht="15">
      <c r="A316" s="107"/>
      <c r="B316" s="113" t="s">
        <v>51</v>
      </c>
      <c r="C316" s="114"/>
      <c r="D316" s="164"/>
      <c r="E316" s="165"/>
      <c r="F316" s="166"/>
      <c r="G316" s="164"/>
      <c r="H316" s="23">
        <v>319872</v>
      </c>
      <c r="I316" s="23">
        <v>114390</v>
      </c>
      <c r="J316" s="23">
        <v>94460</v>
      </c>
      <c r="K316" s="23"/>
      <c r="L316" s="171"/>
      <c r="M316" s="171"/>
      <c r="N316" s="171"/>
      <c r="O316" s="171"/>
      <c r="P316" s="171"/>
      <c r="Q316" s="171"/>
      <c r="R316" s="171"/>
      <c r="S316" s="171"/>
      <c r="T316" s="171"/>
      <c r="U316" s="171"/>
      <c r="V316" s="148"/>
    </row>
    <row r="317" spans="1:22" s="172" customFormat="1" ht="15">
      <c r="A317" s="150" t="s">
        <v>11</v>
      </c>
      <c r="B317" s="151"/>
      <c r="C317" s="152"/>
      <c r="D317" s="167"/>
      <c r="E317" s="168"/>
      <c r="F317" s="169"/>
      <c r="G317" s="167"/>
      <c r="H317" s="23"/>
      <c r="I317" s="23"/>
      <c r="J317" s="23"/>
      <c r="K317" s="23"/>
      <c r="L317" s="171"/>
      <c r="M317" s="171"/>
      <c r="N317" s="171"/>
      <c r="O317" s="171"/>
      <c r="P317" s="171"/>
      <c r="Q317" s="171"/>
      <c r="R317" s="171"/>
      <c r="S317" s="171"/>
      <c r="T317" s="171"/>
      <c r="U317" s="171"/>
      <c r="V317" s="148"/>
    </row>
    <row r="318" spans="1:22" s="172" customFormat="1" ht="45" customHeight="1">
      <c r="A318" s="92">
        <v>11</v>
      </c>
      <c r="B318" s="92" t="s">
        <v>193</v>
      </c>
      <c r="C318" s="92" t="s">
        <v>167</v>
      </c>
      <c r="D318" s="161" t="s">
        <v>194</v>
      </c>
      <c r="E318" s="162" t="s">
        <v>178</v>
      </c>
      <c r="F318" s="163"/>
      <c r="G318" s="161" t="s">
        <v>195</v>
      </c>
      <c r="H318" s="170">
        <f>H319+H321</f>
        <v>408241</v>
      </c>
      <c r="I318" s="170">
        <f t="shared" ref="I318:J318" si="132">I319+I321</f>
        <v>136042</v>
      </c>
      <c r="J318" s="170">
        <f t="shared" si="132"/>
        <v>140119</v>
      </c>
      <c r="K318" s="170"/>
      <c r="L318" s="171"/>
      <c r="M318" s="171"/>
      <c r="N318" s="171"/>
      <c r="O318" s="171"/>
      <c r="P318" s="171"/>
      <c r="Q318" s="171"/>
      <c r="R318" s="171"/>
      <c r="S318" s="171"/>
      <c r="T318" s="171"/>
      <c r="U318" s="171"/>
      <c r="V318" s="148">
        <v>140119</v>
      </c>
    </row>
    <row r="319" spans="1:22" s="172" customFormat="1" ht="15">
      <c r="A319" s="100" t="s">
        <v>50</v>
      </c>
      <c r="B319" s="101"/>
      <c r="C319" s="102"/>
      <c r="D319" s="164"/>
      <c r="E319" s="165"/>
      <c r="F319" s="166"/>
      <c r="G319" s="164"/>
      <c r="H319" s="23">
        <f t="shared" ref="H319:J319" si="133">H320</f>
        <v>408241</v>
      </c>
      <c r="I319" s="23">
        <f t="shared" si="133"/>
        <v>136042</v>
      </c>
      <c r="J319" s="23">
        <f t="shared" si="133"/>
        <v>140119</v>
      </c>
      <c r="K319" s="23"/>
      <c r="L319" s="171"/>
      <c r="M319" s="171"/>
      <c r="N319" s="171"/>
      <c r="O319" s="171"/>
      <c r="P319" s="171"/>
      <c r="Q319" s="171"/>
      <c r="R319" s="171"/>
      <c r="S319" s="171"/>
      <c r="T319" s="171"/>
      <c r="U319" s="171"/>
      <c r="V319" s="148"/>
    </row>
    <row r="320" spans="1:22" s="172" customFormat="1" ht="15">
      <c r="A320" s="107"/>
      <c r="B320" s="113" t="s">
        <v>51</v>
      </c>
      <c r="C320" s="114"/>
      <c r="D320" s="164"/>
      <c r="E320" s="165"/>
      <c r="F320" s="166"/>
      <c r="G320" s="164"/>
      <c r="H320" s="23">
        <v>408241</v>
      </c>
      <c r="I320" s="23">
        <v>136042</v>
      </c>
      <c r="J320" s="23">
        <v>140119</v>
      </c>
      <c r="K320" s="23"/>
      <c r="L320" s="171"/>
      <c r="M320" s="171"/>
      <c r="N320" s="171"/>
      <c r="O320" s="171"/>
      <c r="P320" s="171"/>
      <c r="Q320" s="171"/>
      <c r="R320" s="171"/>
      <c r="S320" s="171"/>
      <c r="T320" s="171"/>
      <c r="U320" s="171"/>
      <c r="V320" s="148"/>
    </row>
    <row r="321" spans="1:23" s="172" customFormat="1" ht="15">
      <c r="A321" s="150" t="s">
        <v>11</v>
      </c>
      <c r="B321" s="151"/>
      <c r="C321" s="152"/>
      <c r="D321" s="167"/>
      <c r="E321" s="168"/>
      <c r="F321" s="169"/>
      <c r="G321" s="167"/>
      <c r="H321" s="23"/>
      <c r="I321" s="23"/>
      <c r="J321" s="23"/>
      <c r="K321" s="23"/>
      <c r="L321" s="171"/>
      <c r="M321" s="171"/>
      <c r="N321" s="171"/>
      <c r="O321" s="171"/>
      <c r="P321" s="171"/>
      <c r="Q321" s="171"/>
      <c r="R321" s="171"/>
      <c r="S321" s="171"/>
      <c r="T321" s="171"/>
      <c r="U321" s="171"/>
      <c r="V321" s="148"/>
    </row>
    <row r="322" spans="1:23" s="172" customFormat="1" ht="75">
      <c r="A322" s="92">
        <v>12</v>
      </c>
      <c r="B322" s="92" t="s">
        <v>196</v>
      </c>
      <c r="C322" s="92" t="s">
        <v>167</v>
      </c>
      <c r="D322" s="161" t="s">
        <v>197</v>
      </c>
      <c r="E322" s="162" t="s">
        <v>178</v>
      </c>
      <c r="F322" s="163"/>
      <c r="G322" s="161" t="s">
        <v>195</v>
      </c>
      <c r="H322" s="170">
        <f>H323+H325</f>
        <v>285599</v>
      </c>
      <c r="I322" s="170">
        <f t="shared" ref="I322:J322" si="134">I323+I325</f>
        <v>95172</v>
      </c>
      <c r="J322" s="170">
        <f t="shared" si="134"/>
        <v>98027</v>
      </c>
      <c r="K322" s="170"/>
      <c r="L322" s="171"/>
      <c r="M322" s="171"/>
      <c r="N322" s="171"/>
      <c r="O322" s="171"/>
      <c r="P322" s="171"/>
      <c r="Q322" s="171"/>
      <c r="R322" s="171"/>
      <c r="S322" s="171"/>
      <c r="T322" s="171"/>
      <c r="U322" s="171"/>
      <c r="V322" s="148">
        <v>98027</v>
      </c>
    </row>
    <row r="323" spans="1:23" s="172" customFormat="1" ht="15">
      <c r="A323" s="100" t="s">
        <v>50</v>
      </c>
      <c r="B323" s="101"/>
      <c r="C323" s="102"/>
      <c r="D323" s="164"/>
      <c r="E323" s="165"/>
      <c r="F323" s="166"/>
      <c r="G323" s="164"/>
      <c r="H323" s="23">
        <f t="shared" ref="H323:J323" si="135">H324</f>
        <v>285599</v>
      </c>
      <c r="I323" s="23">
        <f t="shared" si="135"/>
        <v>95172</v>
      </c>
      <c r="J323" s="23">
        <f t="shared" si="135"/>
        <v>98027</v>
      </c>
      <c r="K323" s="23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48"/>
    </row>
    <row r="324" spans="1:23" s="172" customFormat="1" ht="15">
      <c r="A324" s="107"/>
      <c r="B324" s="113" t="s">
        <v>51</v>
      </c>
      <c r="C324" s="114"/>
      <c r="D324" s="164"/>
      <c r="E324" s="165"/>
      <c r="F324" s="166"/>
      <c r="G324" s="164"/>
      <c r="H324" s="23">
        <v>285599</v>
      </c>
      <c r="I324" s="23">
        <v>95172</v>
      </c>
      <c r="J324" s="23">
        <v>98027</v>
      </c>
      <c r="K324" s="23"/>
      <c r="L324" s="171"/>
      <c r="M324" s="171"/>
      <c r="N324" s="171"/>
      <c r="O324" s="171"/>
      <c r="P324" s="171"/>
      <c r="Q324" s="171"/>
      <c r="R324" s="171"/>
      <c r="S324" s="171"/>
      <c r="T324" s="171"/>
      <c r="U324" s="171"/>
      <c r="V324" s="148"/>
    </row>
    <row r="325" spans="1:23" s="172" customFormat="1" ht="15">
      <c r="A325" s="150" t="s">
        <v>11</v>
      </c>
      <c r="B325" s="151"/>
      <c r="C325" s="152"/>
      <c r="D325" s="167"/>
      <c r="E325" s="168"/>
      <c r="F325" s="169"/>
      <c r="G325" s="167"/>
      <c r="H325" s="23"/>
      <c r="I325" s="23"/>
      <c r="J325" s="23"/>
      <c r="K325" s="23"/>
      <c r="L325" s="171"/>
      <c r="M325" s="171"/>
      <c r="N325" s="171"/>
      <c r="O325" s="171"/>
      <c r="P325" s="171"/>
      <c r="Q325" s="171"/>
      <c r="R325" s="171"/>
      <c r="S325" s="171"/>
      <c r="T325" s="171"/>
      <c r="U325" s="171"/>
      <c r="V325" s="148"/>
    </row>
    <row r="326" spans="1:23" s="175" customFormat="1" ht="45" customHeight="1">
      <c r="A326" s="84">
        <v>13</v>
      </c>
      <c r="B326" s="84" t="s">
        <v>198</v>
      </c>
      <c r="C326" s="84" t="s">
        <v>167</v>
      </c>
      <c r="D326" s="85" t="s">
        <v>99</v>
      </c>
      <c r="E326" s="61" t="s">
        <v>65</v>
      </c>
      <c r="F326" s="62"/>
      <c r="G326" s="85" t="s">
        <v>160</v>
      </c>
      <c r="H326" s="173">
        <f>H327+H329</f>
        <v>1104790</v>
      </c>
      <c r="I326" s="173">
        <f t="shared" ref="I326:K326" si="136">I327+I329</f>
        <v>631860</v>
      </c>
      <c r="J326" s="173">
        <f t="shared" si="136"/>
        <v>224700</v>
      </c>
      <c r="K326" s="173">
        <f t="shared" si="136"/>
        <v>200000</v>
      </c>
      <c r="L326" s="173"/>
      <c r="M326" s="174"/>
      <c r="N326" s="174"/>
      <c r="O326" s="174"/>
      <c r="P326" s="174"/>
      <c r="Q326" s="174"/>
      <c r="R326" s="174"/>
      <c r="S326" s="174"/>
      <c r="T326" s="174"/>
      <c r="U326" s="174"/>
      <c r="V326" s="65">
        <v>424700</v>
      </c>
    </row>
    <row r="327" spans="1:23" s="175" customFormat="1" ht="15">
      <c r="A327" s="119" t="s">
        <v>50</v>
      </c>
      <c r="B327" s="120"/>
      <c r="C327" s="121"/>
      <c r="D327" s="87"/>
      <c r="E327" s="71"/>
      <c r="F327" s="72"/>
      <c r="G327" s="87"/>
      <c r="H327" s="74">
        <f t="shared" ref="H327:K327" si="137">H328</f>
        <v>1104790</v>
      </c>
      <c r="I327" s="74">
        <f t="shared" si="137"/>
        <v>631860</v>
      </c>
      <c r="J327" s="74">
        <f t="shared" si="137"/>
        <v>224700</v>
      </c>
      <c r="K327" s="74">
        <f t="shared" si="137"/>
        <v>200000</v>
      </c>
      <c r="L327" s="74"/>
      <c r="M327" s="174"/>
      <c r="N327" s="174"/>
      <c r="O327" s="174"/>
      <c r="P327" s="174"/>
      <c r="Q327" s="174"/>
      <c r="R327" s="174"/>
      <c r="S327" s="174"/>
      <c r="T327" s="174"/>
      <c r="U327" s="174"/>
      <c r="V327" s="65"/>
    </row>
    <row r="328" spans="1:23" s="175" customFormat="1" ht="15">
      <c r="A328" s="88"/>
      <c r="B328" s="76" t="s">
        <v>51</v>
      </c>
      <c r="C328" s="77"/>
      <c r="D328" s="87"/>
      <c r="E328" s="71"/>
      <c r="F328" s="72"/>
      <c r="G328" s="87"/>
      <c r="H328" s="74">
        <v>1104790</v>
      </c>
      <c r="I328" s="74">
        <v>631860</v>
      </c>
      <c r="J328" s="74">
        <v>224700</v>
      </c>
      <c r="K328" s="74">
        <v>200000</v>
      </c>
      <c r="L328" s="174"/>
      <c r="M328" s="174"/>
      <c r="N328" s="174"/>
      <c r="O328" s="174"/>
      <c r="P328" s="174"/>
      <c r="Q328" s="174"/>
      <c r="R328" s="174"/>
      <c r="S328" s="174"/>
      <c r="T328" s="174"/>
      <c r="U328" s="174"/>
      <c r="V328" s="65"/>
    </row>
    <row r="329" spans="1:23" s="175" customFormat="1" ht="15">
      <c r="A329" s="67" t="s">
        <v>11</v>
      </c>
      <c r="B329" s="68"/>
      <c r="C329" s="69"/>
      <c r="D329" s="89"/>
      <c r="E329" s="79"/>
      <c r="F329" s="80"/>
      <c r="G329" s="89"/>
      <c r="H329" s="74"/>
      <c r="I329" s="74"/>
      <c r="J329" s="74"/>
      <c r="K329" s="74"/>
      <c r="L329" s="174"/>
      <c r="M329" s="174"/>
      <c r="N329" s="174"/>
      <c r="O329" s="174"/>
      <c r="P329" s="174"/>
      <c r="Q329" s="174"/>
      <c r="R329" s="174"/>
      <c r="S329" s="174"/>
      <c r="T329" s="174"/>
      <c r="U329" s="174"/>
      <c r="V329" s="65"/>
    </row>
    <row r="330" spans="1:23" s="43" customFormat="1" ht="15">
      <c r="A330" s="37"/>
      <c r="B330" s="38"/>
      <c r="C330" s="38"/>
      <c r="D330" s="37"/>
      <c r="E330" s="39"/>
      <c r="F330" s="40"/>
      <c r="G330" s="41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149"/>
    </row>
    <row r="331" spans="1:23" s="29" customFormat="1" ht="15">
      <c r="A331" s="24" t="s">
        <v>199</v>
      </c>
      <c r="B331" s="25"/>
      <c r="C331" s="25"/>
      <c r="D331" s="25"/>
      <c r="E331" s="25"/>
      <c r="F331" s="25"/>
      <c r="G331" s="26"/>
      <c r="H331" s="27">
        <f>H332</f>
        <v>99651684</v>
      </c>
      <c r="I331" s="27">
        <f t="shared" ref="I331:U331" si="138">I332</f>
        <v>11456941</v>
      </c>
      <c r="J331" s="27">
        <f t="shared" si="138"/>
        <v>10458974</v>
      </c>
      <c r="K331" s="27">
        <f t="shared" si="138"/>
        <v>9112911</v>
      </c>
      <c r="L331" s="27">
        <f t="shared" si="138"/>
        <v>7561980</v>
      </c>
      <c r="M331" s="27">
        <f t="shared" si="138"/>
        <v>4960034</v>
      </c>
      <c r="N331" s="27">
        <f t="shared" si="138"/>
        <v>4956214</v>
      </c>
      <c r="O331" s="27">
        <f t="shared" si="138"/>
        <v>4519898</v>
      </c>
      <c r="P331" s="27">
        <f t="shared" si="138"/>
        <v>4305543</v>
      </c>
      <c r="Q331" s="27">
        <f t="shared" si="138"/>
        <v>4089403</v>
      </c>
      <c r="R331" s="27">
        <f t="shared" si="138"/>
        <v>3355668</v>
      </c>
      <c r="S331" s="27">
        <f t="shared" si="138"/>
        <v>141950</v>
      </c>
      <c r="T331" s="27">
        <f t="shared" si="138"/>
        <v>0</v>
      </c>
      <c r="U331" s="27">
        <f t="shared" si="138"/>
        <v>0</v>
      </c>
      <c r="V331" s="176">
        <f>SUM(V332)</f>
        <v>0</v>
      </c>
      <c r="W331" s="177"/>
    </row>
    <row r="332" spans="1:23" s="29" customFormat="1" ht="15">
      <c r="A332" s="30" t="s">
        <v>10</v>
      </c>
      <c r="B332" s="31"/>
      <c r="C332" s="32"/>
      <c r="D332" s="33"/>
      <c r="E332" s="34"/>
      <c r="F332" s="35"/>
      <c r="G332" s="36"/>
      <c r="H332" s="27">
        <f>SUM(H334,H337,H340,H343,H346,H349)</f>
        <v>99651684</v>
      </c>
      <c r="I332" s="27">
        <f t="shared" ref="I332:U332" si="139">SUM(I334,I337,I340,I343,I346,I349)</f>
        <v>11456941</v>
      </c>
      <c r="J332" s="27">
        <f t="shared" si="139"/>
        <v>10458974</v>
      </c>
      <c r="K332" s="27">
        <f t="shared" si="139"/>
        <v>9112911</v>
      </c>
      <c r="L332" s="27">
        <f t="shared" si="139"/>
        <v>7561980</v>
      </c>
      <c r="M332" s="27">
        <f t="shared" si="139"/>
        <v>4960034</v>
      </c>
      <c r="N332" s="27">
        <f t="shared" si="139"/>
        <v>4956214</v>
      </c>
      <c r="O332" s="27">
        <f t="shared" si="139"/>
        <v>4519898</v>
      </c>
      <c r="P332" s="27">
        <f t="shared" si="139"/>
        <v>4305543</v>
      </c>
      <c r="Q332" s="27">
        <f t="shared" si="139"/>
        <v>4089403</v>
      </c>
      <c r="R332" s="27">
        <f t="shared" si="139"/>
        <v>3355668</v>
      </c>
      <c r="S332" s="27">
        <f t="shared" si="139"/>
        <v>141950</v>
      </c>
      <c r="T332" s="27">
        <f t="shared" si="139"/>
        <v>0</v>
      </c>
      <c r="U332" s="27">
        <f t="shared" si="139"/>
        <v>0</v>
      </c>
      <c r="V332" s="28">
        <v>0</v>
      </c>
    </row>
    <row r="333" spans="1:23" s="43" customFormat="1" ht="183.75" customHeight="1">
      <c r="A333" s="178">
        <v>1</v>
      </c>
      <c r="B333" s="179" t="s">
        <v>200</v>
      </c>
      <c r="C333" s="179" t="s">
        <v>201</v>
      </c>
      <c r="D333" s="94" t="s">
        <v>202</v>
      </c>
      <c r="E333" s="95" t="s">
        <v>203</v>
      </c>
      <c r="F333" s="96"/>
      <c r="G333" s="94" t="s">
        <v>204</v>
      </c>
      <c r="H333" s="99">
        <v>36773446</v>
      </c>
      <c r="I333" s="99">
        <f t="shared" ref="I333:R334" si="140">SUM(I334)</f>
        <v>3155672</v>
      </c>
      <c r="J333" s="99">
        <f t="shared" si="140"/>
        <v>3040185</v>
      </c>
      <c r="K333" s="99">
        <f t="shared" si="140"/>
        <v>2924847</v>
      </c>
      <c r="L333" s="99">
        <f t="shared" si="140"/>
        <v>2578840</v>
      </c>
      <c r="M333" s="99">
        <f t="shared" si="140"/>
        <v>2703629</v>
      </c>
      <c r="N333" s="99">
        <f t="shared" si="140"/>
        <v>2799640</v>
      </c>
      <c r="O333" s="99">
        <f t="shared" si="140"/>
        <v>2463154</v>
      </c>
      <c r="P333" s="99">
        <f t="shared" si="140"/>
        <v>2347832</v>
      </c>
      <c r="Q333" s="99">
        <f t="shared" si="140"/>
        <v>2232320</v>
      </c>
      <c r="R333" s="99">
        <f t="shared" si="140"/>
        <v>1598416</v>
      </c>
      <c r="S333" s="99"/>
      <c r="T333" s="99"/>
      <c r="U333" s="99"/>
      <c r="V333" s="99">
        <v>0</v>
      </c>
    </row>
    <row r="334" spans="1:23" ht="15">
      <c r="A334" s="100" t="s">
        <v>50</v>
      </c>
      <c r="B334" s="101"/>
      <c r="C334" s="102"/>
      <c r="D334" s="103"/>
      <c r="E334" s="104"/>
      <c r="F334" s="105"/>
      <c r="G334" s="103"/>
      <c r="H334" s="23">
        <v>36773446</v>
      </c>
      <c r="I334" s="23">
        <f t="shared" si="140"/>
        <v>3155672</v>
      </c>
      <c r="J334" s="23">
        <f t="shared" si="140"/>
        <v>3040185</v>
      </c>
      <c r="K334" s="23">
        <f t="shared" si="140"/>
        <v>2924847</v>
      </c>
      <c r="L334" s="23">
        <f t="shared" si="140"/>
        <v>2578840</v>
      </c>
      <c r="M334" s="23">
        <f t="shared" si="140"/>
        <v>2703629</v>
      </c>
      <c r="N334" s="23">
        <f t="shared" si="140"/>
        <v>2799640</v>
      </c>
      <c r="O334" s="23">
        <f t="shared" si="140"/>
        <v>2463154</v>
      </c>
      <c r="P334" s="23">
        <f t="shared" si="140"/>
        <v>2347832</v>
      </c>
      <c r="Q334" s="23">
        <f t="shared" si="140"/>
        <v>2232320</v>
      </c>
      <c r="R334" s="23">
        <f t="shared" si="140"/>
        <v>1598416</v>
      </c>
      <c r="S334" s="23"/>
      <c r="T334" s="23"/>
      <c r="U334" s="23"/>
      <c r="V334" s="148"/>
    </row>
    <row r="335" spans="1:23" ht="15">
      <c r="A335" s="158"/>
      <c r="B335" s="108" t="s">
        <v>51</v>
      </c>
      <c r="C335" s="109"/>
      <c r="D335" s="115"/>
      <c r="E335" s="116"/>
      <c r="F335" s="117"/>
      <c r="G335" s="115"/>
      <c r="H335" s="23">
        <v>36773446</v>
      </c>
      <c r="I335" s="23">
        <v>3155672</v>
      </c>
      <c r="J335" s="23">
        <v>3040185</v>
      </c>
      <c r="K335" s="23">
        <v>2924847</v>
      </c>
      <c r="L335" s="23">
        <v>2578840</v>
      </c>
      <c r="M335" s="23">
        <v>2703629</v>
      </c>
      <c r="N335" s="23">
        <v>2799640</v>
      </c>
      <c r="O335" s="23">
        <v>2463154</v>
      </c>
      <c r="P335" s="23">
        <v>2347832</v>
      </c>
      <c r="Q335" s="23">
        <v>2232320</v>
      </c>
      <c r="R335" s="23">
        <v>1598416</v>
      </c>
      <c r="S335" s="23"/>
      <c r="T335" s="23"/>
      <c r="U335" s="23"/>
      <c r="V335" s="148"/>
    </row>
    <row r="336" spans="1:23" ht="168" customHeight="1">
      <c r="A336" s="92">
        <v>2</v>
      </c>
      <c r="B336" s="180" t="s">
        <v>205</v>
      </c>
      <c r="C336" s="180" t="s">
        <v>206</v>
      </c>
      <c r="D336" s="94" t="s">
        <v>207</v>
      </c>
      <c r="E336" s="95" t="s">
        <v>35</v>
      </c>
      <c r="F336" s="96"/>
      <c r="G336" s="94" t="s">
        <v>204</v>
      </c>
      <c r="H336" s="98">
        <v>9755170</v>
      </c>
      <c r="I336" s="98">
        <f t="shared" ref="I336:J336" si="141">SUM(I337)</f>
        <v>1676125</v>
      </c>
      <c r="J336" s="98">
        <f t="shared" si="141"/>
        <v>405907</v>
      </c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>
        <v>0</v>
      </c>
    </row>
    <row r="337" spans="1:22" ht="15">
      <c r="A337" s="100" t="s">
        <v>50</v>
      </c>
      <c r="B337" s="101"/>
      <c r="C337" s="102"/>
      <c r="D337" s="103"/>
      <c r="E337" s="104"/>
      <c r="F337" s="105"/>
      <c r="G337" s="103"/>
      <c r="H337" s="23">
        <v>9755170</v>
      </c>
      <c r="I337" s="23">
        <f>SUM(I338:I338)</f>
        <v>1676125</v>
      </c>
      <c r="J337" s="23">
        <f>SUM(J338:J338)</f>
        <v>405907</v>
      </c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148"/>
    </row>
    <row r="338" spans="1:22" ht="15">
      <c r="A338" s="158"/>
      <c r="B338" s="108" t="s">
        <v>51</v>
      </c>
      <c r="C338" s="109"/>
      <c r="D338" s="115"/>
      <c r="E338" s="116"/>
      <c r="F338" s="117"/>
      <c r="G338" s="115"/>
      <c r="H338" s="23">
        <v>9755170</v>
      </c>
      <c r="I338" s="23">
        <v>1676125</v>
      </c>
      <c r="J338" s="23">
        <v>405907</v>
      </c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148"/>
    </row>
    <row r="339" spans="1:22" ht="150" customHeight="1">
      <c r="A339" s="92">
        <v>3</v>
      </c>
      <c r="B339" s="92" t="s">
        <v>208</v>
      </c>
      <c r="C339" s="92" t="s">
        <v>209</v>
      </c>
      <c r="D339" s="181" t="s">
        <v>210</v>
      </c>
      <c r="E339" s="95" t="s">
        <v>211</v>
      </c>
      <c r="F339" s="96"/>
      <c r="G339" s="94" t="s">
        <v>204</v>
      </c>
      <c r="H339" s="98">
        <v>35924535</v>
      </c>
      <c r="I339" s="98">
        <f t="shared" ref="I339:S339" si="142">SUM(I340)</f>
        <v>2655727</v>
      </c>
      <c r="J339" s="98">
        <f t="shared" si="142"/>
        <v>2555896</v>
      </c>
      <c r="K339" s="98">
        <f t="shared" si="142"/>
        <v>2456066</v>
      </c>
      <c r="L339" s="98">
        <f t="shared" si="142"/>
        <v>2358127</v>
      </c>
      <c r="M339" s="98">
        <f t="shared" si="142"/>
        <v>2256405</v>
      </c>
      <c r="N339" s="98">
        <f t="shared" si="142"/>
        <v>2156574</v>
      </c>
      <c r="O339" s="98">
        <f t="shared" si="142"/>
        <v>2056744</v>
      </c>
      <c r="P339" s="98">
        <f t="shared" si="142"/>
        <v>1957711</v>
      </c>
      <c r="Q339" s="98">
        <f t="shared" si="142"/>
        <v>1857083</v>
      </c>
      <c r="R339" s="98">
        <f t="shared" si="142"/>
        <v>1757252</v>
      </c>
      <c r="S339" s="98">
        <f t="shared" si="142"/>
        <v>141950</v>
      </c>
      <c r="T339" s="98"/>
      <c r="U339" s="98"/>
      <c r="V339" s="98">
        <v>0</v>
      </c>
    </row>
    <row r="340" spans="1:22" ht="15">
      <c r="A340" s="100" t="s">
        <v>50</v>
      </c>
      <c r="B340" s="101"/>
      <c r="C340" s="102"/>
      <c r="D340" s="182"/>
      <c r="E340" s="104"/>
      <c r="F340" s="105"/>
      <c r="G340" s="103"/>
      <c r="H340" s="23">
        <v>35924535</v>
      </c>
      <c r="I340" s="23">
        <f t="shared" ref="I340:S340" si="143">SUM(I341:I341)</f>
        <v>2655727</v>
      </c>
      <c r="J340" s="23">
        <f t="shared" si="143"/>
        <v>2555896</v>
      </c>
      <c r="K340" s="23">
        <f t="shared" si="143"/>
        <v>2456066</v>
      </c>
      <c r="L340" s="23">
        <f t="shared" si="143"/>
        <v>2358127</v>
      </c>
      <c r="M340" s="23">
        <f t="shared" si="143"/>
        <v>2256405</v>
      </c>
      <c r="N340" s="23">
        <f t="shared" si="143"/>
        <v>2156574</v>
      </c>
      <c r="O340" s="23">
        <f t="shared" si="143"/>
        <v>2056744</v>
      </c>
      <c r="P340" s="23">
        <f t="shared" si="143"/>
        <v>1957711</v>
      </c>
      <c r="Q340" s="23">
        <f t="shared" si="143"/>
        <v>1857083</v>
      </c>
      <c r="R340" s="23">
        <f t="shared" si="143"/>
        <v>1757252</v>
      </c>
      <c r="S340" s="23">
        <f t="shared" si="143"/>
        <v>141950</v>
      </c>
      <c r="T340" s="23"/>
      <c r="U340" s="23"/>
      <c r="V340" s="148"/>
    </row>
    <row r="341" spans="1:22" ht="15">
      <c r="A341" s="158"/>
      <c r="B341" s="108" t="s">
        <v>51</v>
      </c>
      <c r="C341" s="109"/>
      <c r="D341" s="183"/>
      <c r="E341" s="116"/>
      <c r="F341" s="117"/>
      <c r="G341" s="115"/>
      <c r="H341" s="23">
        <v>35924535</v>
      </c>
      <c r="I341" s="23">
        <v>2655727</v>
      </c>
      <c r="J341" s="23">
        <v>2555896</v>
      </c>
      <c r="K341" s="23">
        <v>2456066</v>
      </c>
      <c r="L341" s="23">
        <v>2358127</v>
      </c>
      <c r="M341" s="23">
        <v>2256405</v>
      </c>
      <c r="N341" s="23">
        <v>2156574</v>
      </c>
      <c r="O341" s="23">
        <v>2056744</v>
      </c>
      <c r="P341" s="23">
        <v>1957711</v>
      </c>
      <c r="Q341" s="23">
        <v>1857083</v>
      </c>
      <c r="R341" s="23">
        <v>1757252</v>
      </c>
      <c r="S341" s="23">
        <v>141950</v>
      </c>
      <c r="T341" s="23"/>
      <c r="U341" s="23"/>
      <c r="V341" s="148"/>
    </row>
    <row r="342" spans="1:22" ht="167.25" customHeight="1">
      <c r="A342" s="92">
        <v>4</v>
      </c>
      <c r="B342" s="180" t="s">
        <v>212</v>
      </c>
      <c r="C342" s="180" t="s">
        <v>213</v>
      </c>
      <c r="D342" s="181" t="s">
        <v>207</v>
      </c>
      <c r="E342" s="95" t="s">
        <v>214</v>
      </c>
      <c r="F342" s="96"/>
      <c r="G342" s="94" t="s">
        <v>204</v>
      </c>
      <c r="H342" s="98">
        <v>14543603</v>
      </c>
      <c r="I342" s="98">
        <f t="shared" ref="I342:L342" si="144">SUM(I343)</f>
        <v>3121644</v>
      </c>
      <c r="J342" s="98">
        <f t="shared" si="144"/>
        <v>3816457</v>
      </c>
      <c r="K342" s="98">
        <f t="shared" si="144"/>
        <v>3647094</v>
      </c>
      <c r="L342" s="98">
        <f t="shared" si="144"/>
        <v>2625013</v>
      </c>
      <c r="M342" s="98"/>
      <c r="N342" s="98"/>
      <c r="O342" s="98"/>
      <c r="P342" s="98"/>
      <c r="Q342" s="98"/>
      <c r="R342" s="98"/>
      <c r="S342" s="98"/>
      <c r="T342" s="98"/>
      <c r="U342" s="98"/>
      <c r="V342" s="98">
        <v>0</v>
      </c>
    </row>
    <row r="343" spans="1:22" ht="15">
      <c r="A343" s="100" t="s">
        <v>50</v>
      </c>
      <c r="B343" s="101"/>
      <c r="C343" s="102"/>
      <c r="D343" s="182"/>
      <c r="E343" s="104"/>
      <c r="F343" s="105"/>
      <c r="G343" s="103"/>
      <c r="H343" s="23">
        <v>14543603</v>
      </c>
      <c r="I343" s="23">
        <f t="shared" ref="I343:L343" si="145">SUM(I344:I344)</f>
        <v>3121644</v>
      </c>
      <c r="J343" s="23">
        <f t="shared" si="145"/>
        <v>3816457</v>
      </c>
      <c r="K343" s="23">
        <f t="shared" si="145"/>
        <v>3647094</v>
      </c>
      <c r="L343" s="23">
        <f t="shared" si="145"/>
        <v>2625013</v>
      </c>
      <c r="M343" s="23"/>
      <c r="N343" s="23"/>
      <c r="O343" s="23"/>
      <c r="P343" s="23"/>
      <c r="Q343" s="23"/>
      <c r="R343" s="23"/>
      <c r="S343" s="23"/>
      <c r="T343" s="23"/>
      <c r="U343" s="23"/>
      <c r="V343" s="148"/>
    </row>
    <row r="344" spans="1:22" ht="15">
      <c r="A344" s="158"/>
      <c r="B344" s="108" t="s">
        <v>51</v>
      </c>
      <c r="C344" s="109"/>
      <c r="D344" s="183"/>
      <c r="E344" s="116"/>
      <c r="F344" s="117"/>
      <c r="G344" s="115"/>
      <c r="H344" s="23">
        <v>14543603</v>
      </c>
      <c r="I344" s="23">
        <v>3121644</v>
      </c>
      <c r="J344" s="23">
        <v>3816457</v>
      </c>
      <c r="K344" s="23">
        <v>3647094</v>
      </c>
      <c r="L344" s="23">
        <v>2625013</v>
      </c>
      <c r="M344" s="23"/>
      <c r="N344" s="23"/>
      <c r="O344" s="23"/>
      <c r="P344" s="23"/>
      <c r="Q344" s="23"/>
      <c r="R344" s="23"/>
      <c r="S344" s="23"/>
      <c r="T344" s="23"/>
      <c r="U344" s="23"/>
      <c r="V344" s="148"/>
    </row>
    <row r="345" spans="1:22" ht="169.5" customHeight="1">
      <c r="A345" s="92">
        <v>5</v>
      </c>
      <c r="B345" s="180" t="s">
        <v>215</v>
      </c>
      <c r="C345" s="180" t="s">
        <v>216</v>
      </c>
      <c r="D345" s="181" t="s">
        <v>217</v>
      </c>
      <c r="E345" s="95" t="s">
        <v>54</v>
      </c>
      <c r="F345" s="96"/>
      <c r="G345" s="94" t="s">
        <v>204</v>
      </c>
      <c r="H345" s="98">
        <v>2258075</v>
      </c>
      <c r="I345" s="98">
        <f t="shared" ref="I345:J345" si="146">SUM(I346)</f>
        <v>734092</v>
      </c>
      <c r="J345" s="98">
        <f t="shared" si="146"/>
        <v>458394</v>
      </c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>
        <v>0</v>
      </c>
    </row>
    <row r="346" spans="1:22" ht="15">
      <c r="A346" s="100" t="s">
        <v>50</v>
      </c>
      <c r="B346" s="101"/>
      <c r="C346" s="102"/>
      <c r="D346" s="182"/>
      <c r="E346" s="104"/>
      <c r="F346" s="105"/>
      <c r="G346" s="103"/>
      <c r="H346" s="23">
        <v>2258075</v>
      </c>
      <c r="I346" s="23">
        <f t="shared" ref="I346:J346" si="147">SUM(I347:I347)</f>
        <v>734092</v>
      </c>
      <c r="J346" s="23">
        <f t="shared" si="147"/>
        <v>458394</v>
      </c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:22" ht="15">
      <c r="A347" s="158"/>
      <c r="B347" s="108" t="s">
        <v>51</v>
      </c>
      <c r="C347" s="109"/>
      <c r="D347" s="183"/>
      <c r="E347" s="116"/>
      <c r="F347" s="117"/>
      <c r="G347" s="115"/>
      <c r="H347" s="23">
        <v>2258075</v>
      </c>
      <c r="I347" s="23">
        <v>734092</v>
      </c>
      <c r="J347" s="23">
        <v>458394</v>
      </c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s="66" customFormat="1" ht="169.5" customHeight="1">
      <c r="A348" s="84">
        <v>6</v>
      </c>
      <c r="B348" s="128" t="s">
        <v>218</v>
      </c>
      <c r="C348" s="128" t="s">
        <v>219</v>
      </c>
      <c r="D348" s="60" t="s">
        <v>220</v>
      </c>
      <c r="E348" s="61" t="s">
        <v>65</v>
      </c>
      <c r="F348" s="62"/>
      <c r="G348" s="85" t="s">
        <v>204</v>
      </c>
      <c r="H348" s="86">
        <f>SUM(H349)</f>
        <v>396855</v>
      </c>
      <c r="I348" s="86">
        <f t="shared" ref="I348:K348" si="148">SUM(I349)</f>
        <v>113681</v>
      </c>
      <c r="J348" s="86">
        <f t="shared" si="148"/>
        <v>182135</v>
      </c>
      <c r="K348" s="86">
        <f t="shared" si="148"/>
        <v>84904</v>
      </c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>
        <v>0</v>
      </c>
    </row>
    <row r="349" spans="1:22" s="66" customFormat="1" ht="15">
      <c r="A349" s="119" t="s">
        <v>50</v>
      </c>
      <c r="B349" s="120"/>
      <c r="C349" s="121"/>
      <c r="D349" s="70"/>
      <c r="E349" s="71"/>
      <c r="F349" s="72"/>
      <c r="G349" s="87"/>
      <c r="H349" s="74">
        <f t="shared" ref="H349:K349" si="149">SUM(H350:H350)</f>
        <v>396855</v>
      </c>
      <c r="I349" s="74">
        <f t="shared" si="149"/>
        <v>113681</v>
      </c>
      <c r="J349" s="74">
        <f t="shared" si="149"/>
        <v>182135</v>
      </c>
      <c r="K349" s="74">
        <f t="shared" si="149"/>
        <v>84904</v>
      </c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</row>
    <row r="350" spans="1:22" s="66" customFormat="1" ht="15">
      <c r="A350" s="155"/>
      <c r="B350" s="122" t="s">
        <v>51</v>
      </c>
      <c r="C350" s="123"/>
      <c r="D350" s="78"/>
      <c r="E350" s="79"/>
      <c r="F350" s="80"/>
      <c r="G350" s="89"/>
      <c r="H350" s="74">
        <v>396855</v>
      </c>
      <c r="I350" s="74">
        <v>113681</v>
      </c>
      <c r="J350" s="74">
        <v>182135</v>
      </c>
      <c r="K350" s="74">
        <v>84904</v>
      </c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</row>
    <row r="351" spans="1:22" s="43" customFormat="1">
      <c r="A351" s="184"/>
      <c r="B351" s="185"/>
      <c r="C351" s="185"/>
      <c r="D351" s="184"/>
      <c r="E351" s="184"/>
      <c r="F351" s="184"/>
      <c r="G351" s="184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</row>
    <row r="352" spans="1:22" s="194" customFormat="1" ht="15">
      <c r="A352" s="186" t="s">
        <v>221</v>
      </c>
      <c r="B352" s="187"/>
      <c r="C352" s="188"/>
      <c r="D352" s="189"/>
      <c r="E352" s="190"/>
      <c r="F352" s="191"/>
      <c r="G352" s="192"/>
      <c r="H352" s="193">
        <f>SUM(H357,H362)</f>
        <v>2590667424</v>
      </c>
      <c r="I352" s="193">
        <f t="shared" ref="I352:U356" si="150">SUM(I357,I362)</f>
        <v>851137048</v>
      </c>
      <c r="J352" s="193">
        <f t="shared" si="150"/>
        <v>829741854</v>
      </c>
      <c r="K352" s="193">
        <f t="shared" si="150"/>
        <v>258654854</v>
      </c>
      <c r="L352" s="193">
        <f t="shared" si="150"/>
        <v>29713458</v>
      </c>
      <c r="M352" s="193">
        <f t="shared" si="150"/>
        <v>24690096</v>
      </c>
      <c r="N352" s="193">
        <f t="shared" si="150"/>
        <v>23597136</v>
      </c>
      <c r="O352" s="193">
        <f t="shared" si="150"/>
        <v>10568311</v>
      </c>
      <c r="P352" s="193">
        <f t="shared" si="150"/>
        <v>10126140</v>
      </c>
      <c r="Q352" s="193">
        <f t="shared" si="150"/>
        <v>4289403</v>
      </c>
      <c r="R352" s="193">
        <f t="shared" si="150"/>
        <v>3555668</v>
      </c>
      <c r="S352" s="193">
        <f t="shared" si="150"/>
        <v>341950</v>
      </c>
      <c r="T352" s="193">
        <f t="shared" si="150"/>
        <v>200000</v>
      </c>
      <c r="U352" s="193">
        <f t="shared" si="150"/>
        <v>200000</v>
      </c>
      <c r="V352" s="193">
        <f>SUM(V331,V274,V5)</f>
        <v>901426601</v>
      </c>
    </row>
    <row r="353" spans="1:22" s="194" customFormat="1" ht="15">
      <c r="A353" s="195"/>
      <c r="B353" s="196" t="s">
        <v>19</v>
      </c>
      <c r="C353" s="197"/>
      <c r="D353" s="189"/>
      <c r="E353" s="198"/>
      <c r="F353" s="199"/>
      <c r="G353" s="192"/>
      <c r="H353" s="193">
        <f>SUM(H358,H363)</f>
        <v>1182988948</v>
      </c>
      <c r="I353" s="193">
        <f t="shared" si="150"/>
        <v>530898195</v>
      </c>
      <c r="J353" s="193">
        <f t="shared" si="150"/>
        <v>493625355</v>
      </c>
      <c r="K353" s="193">
        <f t="shared" si="150"/>
        <v>92952034</v>
      </c>
      <c r="L353" s="193">
        <f t="shared" si="150"/>
        <v>0</v>
      </c>
      <c r="M353" s="193">
        <f t="shared" si="150"/>
        <v>0</v>
      </c>
      <c r="N353" s="193">
        <f t="shared" si="150"/>
        <v>0</v>
      </c>
      <c r="O353" s="193">
        <f t="shared" si="150"/>
        <v>0</v>
      </c>
      <c r="P353" s="193">
        <f t="shared" si="150"/>
        <v>0</v>
      </c>
      <c r="Q353" s="193">
        <f t="shared" si="150"/>
        <v>0</v>
      </c>
      <c r="R353" s="193">
        <f t="shared" si="150"/>
        <v>0</v>
      </c>
      <c r="S353" s="193">
        <f t="shared" si="150"/>
        <v>0</v>
      </c>
      <c r="T353" s="193">
        <f t="shared" si="150"/>
        <v>0</v>
      </c>
      <c r="U353" s="193">
        <f t="shared" si="150"/>
        <v>0</v>
      </c>
      <c r="V353" s="193"/>
    </row>
    <row r="354" spans="1:22" s="194" customFormat="1" ht="15">
      <c r="A354" s="200"/>
      <c r="B354" s="196" t="s">
        <v>51</v>
      </c>
      <c r="C354" s="197"/>
      <c r="D354" s="189"/>
      <c r="E354" s="198"/>
      <c r="F354" s="199"/>
      <c r="G354" s="192"/>
      <c r="H354" s="193">
        <f t="shared" ref="H354:H356" si="151">SUM(H359,H364)</f>
        <v>590712463</v>
      </c>
      <c r="I354" s="193">
        <f t="shared" si="150"/>
        <v>144129808</v>
      </c>
      <c r="J354" s="193">
        <f t="shared" si="150"/>
        <v>154078842</v>
      </c>
      <c r="K354" s="193">
        <f t="shared" si="150"/>
        <v>88707962</v>
      </c>
      <c r="L354" s="193">
        <f t="shared" si="150"/>
        <v>22880958</v>
      </c>
      <c r="M354" s="193">
        <f t="shared" si="150"/>
        <v>21690096</v>
      </c>
      <c r="N354" s="193">
        <f t="shared" si="150"/>
        <v>23597136</v>
      </c>
      <c r="O354" s="193">
        <f t="shared" si="150"/>
        <v>10568311</v>
      </c>
      <c r="P354" s="193">
        <f t="shared" si="150"/>
        <v>10126140</v>
      </c>
      <c r="Q354" s="193">
        <f t="shared" si="150"/>
        <v>4289403</v>
      </c>
      <c r="R354" s="193">
        <f t="shared" si="150"/>
        <v>3555668</v>
      </c>
      <c r="S354" s="193">
        <f t="shared" si="150"/>
        <v>341950</v>
      </c>
      <c r="T354" s="193">
        <f t="shared" si="150"/>
        <v>200000</v>
      </c>
      <c r="U354" s="193">
        <f t="shared" si="150"/>
        <v>200000</v>
      </c>
      <c r="V354" s="193"/>
    </row>
    <row r="355" spans="1:22" s="194" customFormat="1" ht="15">
      <c r="A355" s="200"/>
      <c r="B355" s="196" t="s">
        <v>20</v>
      </c>
      <c r="C355" s="197"/>
      <c r="D355" s="189"/>
      <c r="E355" s="198"/>
      <c r="F355" s="199"/>
      <c r="G355" s="192"/>
      <c r="H355" s="193">
        <f t="shared" si="151"/>
        <v>758844527</v>
      </c>
      <c r="I355" s="193">
        <f t="shared" si="150"/>
        <v>170838320</v>
      </c>
      <c r="J355" s="193">
        <f t="shared" si="150"/>
        <v>171920781</v>
      </c>
      <c r="K355" s="193">
        <f t="shared" si="150"/>
        <v>63492203</v>
      </c>
      <c r="L355" s="193">
        <f t="shared" si="150"/>
        <v>0</v>
      </c>
      <c r="M355" s="193">
        <f t="shared" si="150"/>
        <v>0</v>
      </c>
      <c r="N355" s="193">
        <f t="shared" si="150"/>
        <v>0</v>
      </c>
      <c r="O355" s="193">
        <f t="shared" si="150"/>
        <v>0</v>
      </c>
      <c r="P355" s="193">
        <f t="shared" si="150"/>
        <v>0</v>
      </c>
      <c r="Q355" s="193">
        <f t="shared" si="150"/>
        <v>0</v>
      </c>
      <c r="R355" s="193">
        <f t="shared" si="150"/>
        <v>0</v>
      </c>
      <c r="S355" s="193">
        <f t="shared" si="150"/>
        <v>0</v>
      </c>
      <c r="T355" s="193">
        <f t="shared" si="150"/>
        <v>0</v>
      </c>
      <c r="U355" s="193">
        <f t="shared" si="150"/>
        <v>0</v>
      </c>
      <c r="V355" s="193"/>
    </row>
    <row r="356" spans="1:22" s="194" customFormat="1" ht="15">
      <c r="A356" s="195"/>
      <c r="B356" s="196" t="s">
        <v>132</v>
      </c>
      <c r="C356" s="197"/>
      <c r="D356" s="189"/>
      <c r="E356" s="198"/>
      <c r="F356" s="199"/>
      <c r="G356" s="192" t="s">
        <v>222</v>
      </c>
      <c r="H356" s="193">
        <f t="shared" si="151"/>
        <v>58121486</v>
      </c>
      <c r="I356" s="193">
        <f t="shared" si="150"/>
        <v>5270725</v>
      </c>
      <c r="J356" s="193">
        <f t="shared" si="150"/>
        <v>10116876</v>
      </c>
      <c r="K356" s="193">
        <f t="shared" si="150"/>
        <v>13502655</v>
      </c>
      <c r="L356" s="193">
        <f t="shared" si="150"/>
        <v>6832500</v>
      </c>
      <c r="M356" s="193">
        <f t="shared" si="150"/>
        <v>3000000</v>
      </c>
      <c r="N356" s="193">
        <f t="shared" si="150"/>
        <v>0</v>
      </c>
      <c r="O356" s="193">
        <f t="shared" si="150"/>
        <v>0</v>
      </c>
      <c r="P356" s="193">
        <f t="shared" si="150"/>
        <v>0</v>
      </c>
      <c r="Q356" s="193">
        <f t="shared" si="150"/>
        <v>0</v>
      </c>
      <c r="R356" s="193">
        <f t="shared" si="150"/>
        <v>0</v>
      </c>
      <c r="S356" s="193">
        <f t="shared" si="150"/>
        <v>0</v>
      </c>
      <c r="T356" s="193">
        <f t="shared" si="150"/>
        <v>0</v>
      </c>
      <c r="U356" s="193">
        <f t="shared" si="150"/>
        <v>0</v>
      </c>
      <c r="V356" s="193"/>
    </row>
    <row r="357" spans="1:22" s="194" customFormat="1" ht="15">
      <c r="A357" s="201" t="s">
        <v>10</v>
      </c>
      <c r="B357" s="202"/>
      <c r="C357" s="203"/>
      <c r="D357" s="189"/>
      <c r="E357" s="204"/>
      <c r="F357" s="205"/>
      <c r="G357" s="192"/>
      <c r="H357" s="193">
        <f>SUM(H358:H361)</f>
        <v>670534139</v>
      </c>
      <c r="I357" s="193">
        <f t="shared" ref="I357:U357" si="152">SUM(I358:I361)</f>
        <v>143706616</v>
      </c>
      <c r="J357" s="193">
        <f t="shared" si="152"/>
        <v>125426181</v>
      </c>
      <c r="K357" s="193">
        <f t="shared" si="152"/>
        <v>56351173</v>
      </c>
      <c r="L357" s="193">
        <f t="shared" si="152"/>
        <v>16713458</v>
      </c>
      <c r="M357" s="193">
        <f t="shared" si="152"/>
        <v>11690096</v>
      </c>
      <c r="N357" s="193">
        <f t="shared" si="152"/>
        <v>8597136</v>
      </c>
      <c r="O357" s="193">
        <f t="shared" si="152"/>
        <v>7741712</v>
      </c>
      <c r="P357" s="193">
        <f t="shared" si="152"/>
        <v>7299541</v>
      </c>
      <c r="Q357" s="193">
        <f t="shared" si="152"/>
        <v>4289403</v>
      </c>
      <c r="R357" s="193">
        <f t="shared" si="152"/>
        <v>3555668</v>
      </c>
      <c r="S357" s="193">
        <f t="shared" si="152"/>
        <v>341950</v>
      </c>
      <c r="T357" s="193">
        <f t="shared" si="152"/>
        <v>200000</v>
      </c>
      <c r="U357" s="193">
        <f t="shared" si="152"/>
        <v>200000</v>
      </c>
      <c r="V357" s="193"/>
    </row>
    <row r="358" spans="1:22" s="194" customFormat="1" ht="15">
      <c r="A358" s="195"/>
      <c r="B358" s="196" t="s">
        <v>19</v>
      </c>
      <c r="C358" s="197"/>
      <c r="D358" s="189"/>
      <c r="E358" s="198"/>
      <c r="F358" s="199"/>
      <c r="G358" s="192"/>
      <c r="H358" s="193">
        <f>SUM(,H54,H60,H131,H153,H165,H143,H148,H158,)</f>
        <v>80303456</v>
      </c>
      <c r="I358" s="193">
        <f t="shared" ref="I358:U358" si="153">SUM(,I54,I60,I131,I153,I165,I143,I148,I158,)</f>
        <v>26746658</v>
      </c>
      <c r="J358" s="193">
        <f t="shared" si="153"/>
        <v>35163300</v>
      </c>
      <c r="K358" s="193">
        <f t="shared" si="153"/>
        <v>881900</v>
      </c>
      <c r="L358" s="193">
        <f t="shared" si="153"/>
        <v>0</v>
      </c>
      <c r="M358" s="193">
        <f t="shared" si="153"/>
        <v>0</v>
      </c>
      <c r="N358" s="193">
        <f t="shared" si="153"/>
        <v>0</v>
      </c>
      <c r="O358" s="193">
        <f t="shared" si="153"/>
        <v>0</v>
      </c>
      <c r="P358" s="193">
        <f t="shared" si="153"/>
        <v>0</v>
      </c>
      <c r="Q358" s="193">
        <f t="shared" si="153"/>
        <v>0</v>
      </c>
      <c r="R358" s="193">
        <f t="shared" si="153"/>
        <v>0</v>
      </c>
      <c r="S358" s="193">
        <f t="shared" si="153"/>
        <v>0</v>
      </c>
      <c r="T358" s="193">
        <f t="shared" si="153"/>
        <v>0</v>
      </c>
      <c r="U358" s="193">
        <f t="shared" si="153"/>
        <v>0</v>
      </c>
      <c r="V358" s="193"/>
    </row>
    <row r="359" spans="1:22" s="194" customFormat="1" ht="15">
      <c r="A359" s="200"/>
      <c r="B359" s="196" t="s">
        <v>51</v>
      </c>
      <c r="C359" s="197"/>
      <c r="D359" s="189"/>
      <c r="E359" s="198"/>
      <c r="F359" s="199"/>
      <c r="G359" s="192"/>
      <c r="H359" s="193">
        <f t="shared" ref="H359:U359" si="154">SUM(,H55,H111,H61,H68,H118,H124,H166,H191,H279,H180,H184,H229,H246,H254,H258,H262,H266,H283,H296,H300,H304,H308,H312,H316,H320,H324,H335,H338,H341,H344,H347,H144,H149,H250,H292,H328,H350,H237,H288,H214,H219)</f>
        <v>249416792</v>
      </c>
      <c r="I359" s="193">
        <f t="shared" si="154"/>
        <v>46251869</v>
      </c>
      <c r="J359" s="193">
        <f t="shared" si="154"/>
        <v>30372356</v>
      </c>
      <c r="K359" s="193">
        <f t="shared" si="154"/>
        <v>27737732</v>
      </c>
      <c r="L359" s="193">
        <f t="shared" si="154"/>
        <v>12880958</v>
      </c>
      <c r="M359" s="193">
        <f t="shared" si="154"/>
        <v>11690096</v>
      </c>
      <c r="N359" s="193">
        <f t="shared" si="154"/>
        <v>8597136</v>
      </c>
      <c r="O359" s="193">
        <f t="shared" si="154"/>
        <v>7741712</v>
      </c>
      <c r="P359" s="193">
        <f t="shared" si="154"/>
        <v>7299541</v>
      </c>
      <c r="Q359" s="193">
        <f t="shared" si="154"/>
        <v>4289403</v>
      </c>
      <c r="R359" s="193">
        <f t="shared" si="154"/>
        <v>3555668</v>
      </c>
      <c r="S359" s="193">
        <f t="shared" si="154"/>
        <v>341950</v>
      </c>
      <c r="T359" s="193">
        <f t="shared" si="154"/>
        <v>200000</v>
      </c>
      <c r="U359" s="193">
        <f t="shared" si="154"/>
        <v>200000</v>
      </c>
      <c r="V359" s="193"/>
    </row>
    <row r="360" spans="1:22" s="194" customFormat="1" ht="15">
      <c r="A360" s="200"/>
      <c r="B360" s="196" t="s">
        <v>20</v>
      </c>
      <c r="C360" s="197"/>
      <c r="D360" s="189"/>
      <c r="E360" s="198"/>
      <c r="F360" s="199"/>
      <c r="G360" s="192"/>
      <c r="H360" s="193">
        <f t="shared" ref="H360:U360" si="155">SUM(H198,H56,H132,H185,H192,H203,H241,H267,H284,H159,)</f>
        <v>330513891</v>
      </c>
      <c r="I360" s="193">
        <f t="shared" si="155"/>
        <v>70608089</v>
      </c>
      <c r="J360" s="193">
        <f t="shared" si="155"/>
        <v>57310525</v>
      </c>
      <c r="K360" s="193">
        <f t="shared" si="155"/>
        <v>23944041</v>
      </c>
      <c r="L360" s="193">
        <f t="shared" si="155"/>
        <v>0</v>
      </c>
      <c r="M360" s="193">
        <f t="shared" si="155"/>
        <v>0</v>
      </c>
      <c r="N360" s="193">
        <f t="shared" si="155"/>
        <v>0</v>
      </c>
      <c r="O360" s="193">
        <f t="shared" si="155"/>
        <v>0</v>
      </c>
      <c r="P360" s="193">
        <f t="shared" si="155"/>
        <v>0</v>
      </c>
      <c r="Q360" s="193">
        <f t="shared" si="155"/>
        <v>0</v>
      </c>
      <c r="R360" s="193">
        <f t="shared" si="155"/>
        <v>0</v>
      </c>
      <c r="S360" s="193">
        <f t="shared" si="155"/>
        <v>0</v>
      </c>
      <c r="T360" s="193">
        <f t="shared" si="155"/>
        <v>0</v>
      </c>
      <c r="U360" s="193">
        <f t="shared" si="155"/>
        <v>0</v>
      </c>
      <c r="V360" s="193"/>
    </row>
    <row r="361" spans="1:22" s="194" customFormat="1" ht="15">
      <c r="A361" s="195"/>
      <c r="B361" s="196" t="s">
        <v>132</v>
      </c>
      <c r="C361" s="197"/>
      <c r="D361" s="189"/>
      <c r="E361" s="198"/>
      <c r="F361" s="199"/>
      <c r="G361" s="192"/>
      <c r="H361" s="193">
        <f>H215+H220</f>
        <v>10300000</v>
      </c>
      <c r="I361" s="193">
        <f t="shared" ref="I361:U361" si="156">I215+I220</f>
        <v>100000</v>
      </c>
      <c r="J361" s="193">
        <f t="shared" si="156"/>
        <v>2580000</v>
      </c>
      <c r="K361" s="193">
        <f t="shared" si="156"/>
        <v>3787500</v>
      </c>
      <c r="L361" s="193">
        <f t="shared" si="156"/>
        <v>3832500</v>
      </c>
      <c r="M361" s="193">
        <f t="shared" si="156"/>
        <v>0</v>
      </c>
      <c r="N361" s="193">
        <f t="shared" si="156"/>
        <v>0</v>
      </c>
      <c r="O361" s="193">
        <f t="shared" si="156"/>
        <v>0</v>
      </c>
      <c r="P361" s="193">
        <f t="shared" si="156"/>
        <v>0</v>
      </c>
      <c r="Q361" s="193">
        <f t="shared" si="156"/>
        <v>0</v>
      </c>
      <c r="R361" s="193">
        <f t="shared" si="156"/>
        <v>0</v>
      </c>
      <c r="S361" s="193">
        <f t="shared" si="156"/>
        <v>0</v>
      </c>
      <c r="T361" s="193">
        <f t="shared" si="156"/>
        <v>0</v>
      </c>
      <c r="U361" s="193">
        <f t="shared" si="156"/>
        <v>0</v>
      </c>
      <c r="V361" s="193"/>
    </row>
    <row r="362" spans="1:22" s="194" customFormat="1" ht="15">
      <c r="A362" s="201" t="s">
        <v>11</v>
      </c>
      <c r="B362" s="202"/>
      <c r="C362" s="203"/>
      <c r="D362" s="189"/>
      <c r="E362" s="204"/>
      <c r="F362" s="205"/>
      <c r="G362" s="192"/>
      <c r="H362" s="193">
        <f t="shared" ref="H362" si="157">SUM(H363:H366)</f>
        <v>1920133285</v>
      </c>
      <c r="I362" s="193">
        <f t="shared" ref="I362:U362" si="158">SUM(I363:I366)</f>
        <v>707430432</v>
      </c>
      <c r="J362" s="193">
        <f t="shared" si="158"/>
        <v>704315673</v>
      </c>
      <c r="K362" s="193">
        <f t="shared" si="158"/>
        <v>202303681</v>
      </c>
      <c r="L362" s="193">
        <f t="shared" si="158"/>
        <v>13000000</v>
      </c>
      <c r="M362" s="193">
        <f t="shared" si="158"/>
        <v>13000000</v>
      </c>
      <c r="N362" s="193">
        <f t="shared" si="158"/>
        <v>15000000</v>
      </c>
      <c r="O362" s="193">
        <f t="shared" si="158"/>
        <v>2826599</v>
      </c>
      <c r="P362" s="193">
        <f t="shared" si="158"/>
        <v>2826599</v>
      </c>
      <c r="Q362" s="193">
        <f t="shared" si="158"/>
        <v>0</v>
      </c>
      <c r="R362" s="193">
        <f t="shared" si="158"/>
        <v>0</v>
      </c>
      <c r="S362" s="193">
        <f t="shared" si="158"/>
        <v>0</v>
      </c>
      <c r="T362" s="193">
        <f t="shared" si="158"/>
        <v>0</v>
      </c>
      <c r="U362" s="193">
        <f t="shared" si="158"/>
        <v>0</v>
      </c>
      <c r="V362" s="193"/>
    </row>
    <row r="363" spans="1:22" s="194" customFormat="1" ht="15">
      <c r="A363" s="195"/>
      <c r="B363" s="196" t="s">
        <v>19</v>
      </c>
      <c r="C363" s="197"/>
      <c r="D363" s="189"/>
      <c r="E363" s="198"/>
      <c r="F363" s="199"/>
      <c r="G363" s="192"/>
      <c r="H363" s="193">
        <f>SUM(H15,H20,H25,H30,H35,H40,H45,H50,H95,H63,H70,H77,H83,H89,H100,H113,H120,H126,H134,H139,H155,H168,H106,H161)</f>
        <v>1102685492</v>
      </c>
      <c r="I363" s="193">
        <f t="shared" ref="I363:U363" si="159">SUM(I15,I20,I25,I30,I35,I40,I45,I50,I95,I63,I70,I77,I83,I89,I100,I113,I120,I126,I134,I139,I155,I168,I106,I161)</f>
        <v>504151537</v>
      </c>
      <c r="J363" s="193">
        <f t="shared" si="159"/>
        <v>458462055</v>
      </c>
      <c r="K363" s="193">
        <f t="shared" si="159"/>
        <v>92070134</v>
      </c>
      <c r="L363" s="193">
        <f t="shared" si="159"/>
        <v>0</v>
      </c>
      <c r="M363" s="193">
        <f t="shared" si="159"/>
        <v>0</v>
      </c>
      <c r="N363" s="193">
        <f t="shared" si="159"/>
        <v>0</v>
      </c>
      <c r="O363" s="193">
        <f t="shared" si="159"/>
        <v>0</v>
      </c>
      <c r="P363" s="193">
        <f t="shared" si="159"/>
        <v>0</v>
      </c>
      <c r="Q363" s="193">
        <f t="shared" si="159"/>
        <v>0</v>
      </c>
      <c r="R363" s="193">
        <f t="shared" si="159"/>
        <v>0</v>
      </c>
      <c r="S363" s="193">
        <f t="shared" si="159"/>
        <v>0</v>
      </c>
      <c r="T363" s="193">
        <f t="shared" si="159"/>
        <v>0</v>
      </c>
      <c r="U363" s="193">
        <f t="shared" si="159"/>
        <v>0</v>
      </c>
      <c r="V363" s="193"/>
    </row>
    <row r="364" spans="1:22" s="194" customFormat="1" ht="15">
      <c r="A364" s="200"/>
      <c r="B364" s="196" t="s">
        <v>51</v>
      </c>
      <c r="C364" s="197"/>
      <c r="D364" s="189"/>
      <c r="E364" s="198"/>
      <c r="F364" s="199"/>
      <c r="G364" s="192"/>
      <c r="H364" s="193">
        <f t="shared" ref="H364:U364" si="160">SUM(H64,H71,H78,H84,H90,H96,H101,H114,H121,H127,H140,H169,H187,H194,H209,H225,H234,H272,H107,)</f>
        <v>341295671</v>
      </c>
      <c r="I364" s="193">
        <f t="shared" si="160"/>
        <v>97877939</v>
      </c>
      <c r="J364" s="193">
        <f t="shared" si="160"/>
        <v>123706486</v>
      </c>
      <c r="K364" s="193">
        <f t="shared" si="160"/>
        <v>60970230</v>
      </c>
      <c r="L364" s="193">
        <f t="shared" si="160"/>
        <v>10000000</v>
      </c>
      <c r="M364" s="193">
        <f t="shared" si="160"/>
        <v>10000000</v>
      </c>
      <c r="N364" s="193">
        <f t="shared" si="160"/>
        <v>15000000</v>
      </c>
      <c r="O364" s="193">
        <f t="shared" si="160"/>
        <v>2826599</v>
      </c>
      <c r="P364" s="193">
        <f t="shared" si="160"/>
        <v>2826599</v>
      </c>
      <c r="Q364" s="193">
        <f t="shared" si="160"/>
        <v>0</v>
      </c>
      <c r="R364" s="193">
        <f t="shared" si="160"/>
        <v>0</v>
      </c>
      <c r="S364" s="193">
        <f t="shared" si="160"/>
        <v>0</v>
      </c>
      <c r="T364" s="193">
        <f t="shared" si="160"/>
        <v>0</v>
      </c>
      <c r="U364" s="193">
        <f t="shared" si="160"/>
        <v>0</v>
      </c>
      <c r="V364" s="193"/>
    </row>
    <row r="365" spans="1:22" s="194" customFormat="1" ht="15">
      <c r="A365" s="200"/>
      <c r="B365" s="196" t="s">
        <v>20</v>
      </c>
      <c r="C365" s="197"/>
      <c r="D365" s="189"/>
      <c r="E365" s="198"/>
      <c r="F365" s="199"/>
      <c r="G365" s="192"/>
      <c r="H365" s="193">
        <f>SUM(H16,H21,H26,H31,H36,H41,H46,H51,H200,H72,H79,H91,H115,H135,H188,H195,H205,H210,H243,H85,H128,H108,H162)</f>
        <v>428330636</v>
      </c>
      <c r="I365" s="193">
        <f t="shared" ref="I365:U365" si="161">SUM(I16,I21,I26,I31,I36,I41,I46,I51,I200,I72,I79,I91,I115,I135,I188,I195,I205,I210,I243,I85,I128,I108,I162)</f>
        <v>100230231</v>
      </c>
      <c r="J365" s="193">
        <f t="shared" si="161"/>
        <v>114610256</v>
      </c>
      <c r="K365" s="193">
        <f t="shared" si="161"/>
        <v>39548162</v>
      </c>
      <c r="L365" s="193">
        <f t="shared" si="161"/>
        <v>0</v>
      </c>
      <c r="M365" s="193">
        <f t="shared" si="161"/>
        <v>0</v>
      </c>
      <c r="N365" s="193">
        <f t="shared" si="161"/>
        <v>0</v>
      </c>
      <c r="O365" s="193">
        <f t="shared" si="161"/>
        <v>0</v>
      </c>
      <c r="P365" s="193">
        <f t="shared" si="161"/>
        <v>0</v>
      </c>
      <c r="Q365" s="193">
        <f t="shared" si="161"/>
        <v>0</v>
      </c>
      <c r="R365" s="193">
        <f t="shared" si="161"/>
        <v>0</v>
      </c>
      <c r="S365" s="193">
        <f t="shared" si="161"/>
        <v>0</v>
      </c>
      <c r="T365" s="193">
        <f t="shared" si="161"/>
        <v>0</v>
      </c>
      <c r="U365" s="193">
        <f t="shared" si="161"/>
        <v>0</v>
      </c>
      <c r="V365" s="193"/>
    </row>
    <row r="366" spans="1:22" s="194" customFormat="1" ht="13.5" customHeight="1">
      <c r="A366" s="195"/>
      <c r="B366" s="196" t="s">
        <v>132</v>
      </c>
      <c r="C366" s="197"/>
      <c r="D366" s="189"/>
      <c r="E366" s="198"/>
      <c r="F366" s="199"/>
      <c r="G366" s="192"/>
      <c r="H366" s="193">
        <f>SUM(H65,H73,H211,H226,H102,)</f>
        <v>47821486</v>
      </c>
      <c r="I366" s="193">
        <f t="shared" ref="I366:U366" si="162">SUM(I65,I73,I211,I226,I102,)</f>
        <v>5170725</v>
      </c>
      <c r="J366" s="193">
        <f t="shared" si="162"/>
        <v>7536876</v>
      </c>
      <c r="K366" s="193">
        <f t="shared" si="162"/>
        <v>9715155</v>
      </c>
      <c r="L366" s="193">
        <f t="shared" si="162"/>
        <v>3000000</v>
      </c>
      <c r="M366" s="193">
        <f t="shared" si="162"/>
        <v>3000000</v>
      </c>
      <c r="N366" s="193">
        <f t="shared" si="162"/>
        <v>0</v>
      </c>
      <c r="O366" s="193">
        <f t="shared" si="162"/>
        <v>0</v>
      </c>
      <c r="P366" s="193">
        <f t="shared" si="162"/>
        <v>0</v>
      </c>
      <c r="Q366" s="193">
        <f t="shared" si="162"/>
        <v>0</v>
      </c>
      <c r="R366" s="193">
        <f t="shared" si="162"/>
        <v>0</v>
      </c>
      <c r="S366" s="193">
        <f t="shared" si="162"/>
        <v>0</v>
      </c>
      <c r="T366" s="193">
        <f t="shared" si="162"/>
        <v>0</v>
      </c>
      <c r="U366" s="193">
        <f t="shared" si="162"/>
        <v>0</v>
      </c>
      <c r="V366" s="193"/>
    </row>
    <row r="367" spans="1:22" hidden="1">
      <c r="G367" s="206" t="s">
        <v>223</v>
      </c>
      <c r="H367" s="207">
        <f t="shared" ref="H367:U367" si="163">H357-H331-H274</f>
        <v>559367913</v>
      </c>
      <c r="I367" s="207">
        <f t="shared" si="163"/>
        <v>127495427</v>
      </c>
      <c r="J367" s="207">
        <f t="shared" si="163"/>
        <v>113136192</v>
      </c>
      <c r="K367" s="207">
        <f t="shared" si="163"/>
        <v>47018424</v>
      </c>
      <c r="L367" s="207">
        <f t="shared" si="163"/>
        <v>9151478</v>
      </c>
      <c r="M367" s="207">
        <f t="shared" si="163"/>
        <v>6730062</v>
      </c>
      <c r="N367" s="207">
        <f t="shared" si="163"/>
        <v>3640922</v>
      </c>
      <c r="O367" s="207">
        <f t="shared" si="163"/>
        <v>3221814</v>
      </c>
      <c r="P367" s="207">
        <f t="shared" si="163"/>
        <v>2993998</v>
      </c>
      <c r="Q367" s="207">
        <f t="shared" si="163"/>
        <v>200000</v>
      </c>
      <c r="R367" s="207">
        <f t="shared" si="163"/>
        <v>200000</v>
      </c>
      <c r="S367" s="207">
        <f t="shared" si="163"/>
        <v>200000</v>
      </c>
      <c r="T367" s="207">
        <f t="shared" si="163"/>
        <v>200000</v>
      </c>
      <c r="U367" s="207">
        <f t="shared" si="163"/>
        <v>200000</v>
      </c>
      <c r="V367" s="207">
        <f>V357-V331</f>
        <v>0</v>
      </c>
    </row>
    <row r="368" spans="1:22" hidden="1">
      <c r="G368" t="s">
        <v>224</v>
      </c>
      <c r="H368" s="207">
        <f t="shared" ref="H368:U368" si="164">H357-H331</f>
        <v>570882455</v>
      </c>
      <c r="I368" s="207">
        <f t="shared" si="164"/>
        <v>132249675</v>
      </c>
      <c r="J368" s="207">
        <f t="shared" si="164"/>
        <v>114967207</v>
      </c>
      <c r="K368" s="207">
        <f t="shared" si="164"/>
        <v>47238262</v>
      </c>
      <c r="L368" s="207">
        <f t="shared" si="164"/>
        <v>9151478</v>
      </c>
      <c r="M368" s="207">
        <f t="shared" si="164"/>
        <v>6730062</v>
      </c>
      <c r="N368" s="207">
        <f t="shared" si="164"/>
        <v>3640922</v>
      </c>
      <c r="O368" s="207">
        <f t="shared" si="164"/>
        <v>3221814</v>
      </c>
      <c r="P368" s="207">
        <f t="shared" si="164"/>
        <v>2993998</v>
      </c>
      <c r="Q368" s="207">
        <f t="shared" si="164"/>
        <v>200000</v>
      </c>
      <c r="R368" s="207">
        <f t="shared" si="164"/>
        <v>200000</v>
      </c>
      <c r="S368" s="207">
        <f t="shared" si="164"/>
        <v>200000</v>
      </c>
      <c r="T368" s="207">
        <f t="shared" si="164"/>
        <v>200000</v>
      </c>
      <c r="U368" s="207">
        <f t="shared" si="164"/>
        <v>200000</v>
      </c>
      <c r="V368" s="207"/>
    </row>
    <row r="369" spans="1:23" hidden="1">
      <c r="G369" t="s">
        <v>225</v>
      </c>
      <c r="H369" s="207">
        <f>H331</f>
        <v>99651684</v>
      </c>
      <c r="I369" s="207">
        <f t="shared" ref="I369:U369" si="165">I331</f>
        <v>11456941</v>
      </c>
      <c r="J369" s="207">
        <f t="shared" si="165"/>
        <v>10458974</v>
      </c>
      <c r="K369" s="207">
        <f t="shared" si="165"/>
        <v>9112911</v>
      </c>
      <c r="L369" s="207">
        <f t="shared" si="165"/>
        <v>7561980</v>
      </c>
      <c r="M369" s="207">
        <f t="shared" si="165"/>
        <v>4960034</v>
      </c>
      <c r="N369" s="207">
        <f t="shared" si="165"/>
        <v>4956214</v>
      </c>
      <c r="O369" s="207">
        <f t="shared" si="165"/>
        <v>4519898</v>
      </c>
      <c r="P369" s="207">
        <f t="shared" si="165"/>
        <v>4305543</v>
      </c>
      <c r="Q369" s="207">
        <f t="shared" si="165"/>
        <v>4089403</v>
      </c>
      <c r="R369" s="207">
        <f t="shared" si="165"/>
        <v>3355668</v>
      </c>
      <c r="S369" s="207">
        <f t="shared" si="165"/>
        <v>141950</v>
      </c>
      <c r="T369" s="207">
        <f t="shared" si="165"/>
        <v>0</v>
      </c>
      <c r="U369" s="207">
        <f t="shared" si="165"/>
        <v>0</v>
      </c>
      <c r="V369" s="207"/>
    </row>
    <row r="370" spans="1:23" hidden="1">
      <c r="G370" t="s">
        <v>226</v>
      </c>
      <c r="H370" s="207">
        <f>H359-H369</f>
        <v>149765108</v>
      </c>
      <c r="I370" s="207">
        <f t="shared" ref="I370:V370" si="166">I359-I369</f>
        <v>34794928</v>
      </c>
      <c r="J370" s="207">
        <f t="shared" si="166"/>
        <v>19913382</v>
      </c>
      <c r="K370" s="207">
        <f t="shared" si="166"/>
        <v>18624821</v>
      </c>
      <c r="L370" s="207">
        <f t="shared" si="166"/>
        <v>5318978</v>
      </c>
      <c r="M370" s="207">
        <f t="shared" si="166"/>
        <v>6730062</v>
      </c>
      <c r="N370" s="207">
        <f t="shared" si="166"/>
        <v>3640922</v>
      </c>
      <c r="O370" s="207">
        <f t="shared" si="166"/>
        <v>3221814</v>
      </c>
      <c r="P370" s="207">
        <f t="shared" si="166"/>
        <v>2993998</v>
      </c>
      <c r="Q370" s="207">
        <f t="shared" si="166"/>
        <v>200000</v>
      </c>
      <c r="R370" s="207">
        <f t="shared" si="166"/>
        <v>200000</v>
      </c>
      <c r="S370" s="207">
        <f t="shared" si="166"/>
        <v>200000</v>
      </c>
      <c r="T370" s="207">
        <f t="shared" si="166"/>
        <v>200000</v>
      </c>
      <c r="U370" s="207">
        <f t="shared" si="166"/>
        <v>200000</v>
      </c>
      <c r="V370" s="207">
        <f t="shared" si="166"/>
        <v>0</v>
      </c>
    </row>
    <row r="371" spans="1:23" hidden="1">
      <c r="H371" s="207"/>
      <c r="I371" s="207"/>
      <c r="J371" s="207"/>
      <c r="K371" s="207"/>
      <c r="L371" s="207"/>
      <c r="M371" s="207"/>
      <c r="N371" s="207"/>
      <c r="O371" s="207"/>
      <c r="P371" s="207"/>
      <c r="Q371" s="207"/>
      <c r="R371" s="207"/>
      <c r="S371" s="207"/>
      <c r="T371" s="207"/>
      <c r="U371" s="207"/>
      <c r="V371" s="207"/>
    </row>
    <row r="372" spans="1:23" ht="15" hidden="1">
      <c r="C372" s="208"/>
      <c r="G372" s="209" t="s">
        <v>227</v>
      </c>
      <c r="H372" s="210">
        <f t="shared" ref="H372:W372" si="167">SUM(H12,H17,H22,H27,H32,H37,H42,H47,H52,H58,H66,H74,H80,H86,H92,H97,H103,H109,H116,H122,H129,H136,H141,H146,H151,H156,H163,H178,H182,H189,H196,H201,H206,H212,H217,H222,H227,H231,H235,H239,H244,H248,H252,H256,H260,H264,H269,H277,H281,H286,H290,H294,H298,H302,H306,H310,H314,H318,H322,H326,H333,H336,H339,H342,H345,H348)</f>
        <v>2590667424</v>
      </c>
      <c r="I372" s="210">
        <f t="shared" si="167"/>
        <v>851137048</v>
      </c>
      <c r="J372" s="210">
        <f t="shared" si="167"/>
        <v>829741854</v>
      </c>
      <c r="K372" s="210">
        <f t="shared" si="167"/>
        <v>258654854</v>
      </c>
      <c r="L372" s="210">
        <f t="shared" si="167"/>
        <v>29713458</v>
      </c>
      <c r="M372" s="210">
        <f t="shared" si="167"/>
        <v>24690096</v>
      </c>
      <c r="N372" s="210">
        <f t="shared" si="167"/>
        <v>23597136</v>
      </c>
      <c r="O372" s="210">
        <f t="shared" si="167"/>
        <v>10568311</v>
      </c>
      <c r="P372" s="210">
        <f t="shared" si="167"/>
        <v>10126140</v>
      </c>
      <c r="Q372" s="210">
        <f t="shared" si="167"/>
        <v>4289403</v>
      </c>
      <c r="R372" s="210">
        <f t="shared" si="167"/>
        <v>3555668</v>
      </c>
      <c r="S372" s="210">
        <f t="shared" si="167"/>
        <v>341950</v>
      </c>
      <c r="T372" s="210">
        <f t="shared" si="167"/>
        <v>200000</v>
      </c>
      <c r="U372" s="210">
        <f t="shared" si="167"/>
        <v>200000</v>
      </c>
      <c r="V372" s="210">
        <f t="shared" si="167"/>
        <v>901426601</v>
      </c>
      <c r="W372" s="210">
        <f t="shared" si="167"/>
        <v>0</v>
      </c>
    </row>
    <row r="373" spans="1:23" ht="15" hidden="1">
      <c r="C373" s="208"/>
      <c r="G373" s="211" t="s">
        <v>228</v>
      </c>
      <c r="H373" s="210">
        <f t="shared" ref="H373:V373" si="168">SUM(H5,H274,H331)</f>
        <v>2590667424</v>
      </c>
      <c r="I373" s="210">
        <f t="shared" si="168"/>
        <v>851137048</v>
      </c>
      <c r="J373" s="210">
        <f t="shared" si="168"/>
        <v>829741854</v>
      </c>
      <c r="K373" s="210">
        <f t="shared" si="168"/>
        <v>258654854</v>
      </c>
      <c r="L373" s="210">
        <f t="shared" si="168"/>
        <v>29713458</v>
      </c>
      <c r="M373" s="210">
        <f t="shared" si="168"/>
        <v>24690096</v>
      </c>
      <c r="N373" s="210">
        <f t="shared" si="168"/>
        <v>23597136</v>
      </c>
      <c r="O373" s="210">
        <f t="shared" si="168"/>
        <v>10568311</v>
      </c>
      <c r="P373" s="210">
        <f t="shared" si="168"/>
        <v>10126140</v>
      </c>
      <c r="Q373" s="210">
        <f t="shared" si="168"/>
        <v>4289403</v>
      </c>
      <c r="R373" s="210">
        <f t="shared" si="168"/>
        <v>3555668</v>
      </c>
      <c r="S373" s="210">
        <f t="shared" si="168"/>
        <v>341950</v>
      </c>
      <c r="T373" s="210">
        <f t="shared" si="168"/>
        <v>200000</v>
      </c>
      <c r="U373" s="210">
        <f t="shared" si="168"/>
        <v>200000</v>
      </c>
      <c r="V373" s="210">
        <f t="shared" si="168"/>
        <v>901426601</v>
      </c>
    </row>
    <row r="374" spans="1:23" hidden="1">
      <c r="G374" t="s">
        <v>229</v>
      </c>
      <c r="H374" s="207">
        <f t="shared" ref="H374:U374" si="169">SUM(H10,H172,H176,H275,H332)</f>
        <v>670534139</v>
      </c>
      <c r="I374" s="207">
        <f t="shared" si="169"/>
        <v>143706616</v>
      </c>
      <c r="J374" s="207">
        <f t="shared" si="169"/>
        <v>125426181</v>
      </c>
      <c r="K374" s="207">
        <f t="shared" si="169"/>
        <v>56351173</v>
      </c>
      <c r="L374" s="207">
        <f t="shared" si="169"/>
        <v>16713458</v>
      </c>
      <c r="M374" s="207">
        <f t="shared" si="169"/>
        <v>11690096</v>
      </c>
      <c r="N374" s="207">
        <f t="shared" si="169"/>
        <v>8597136</v>
      </c>
      <c r="O374" s="207">
        <f t="shared" si="169"/>
        <v>7741712</v>
      </c>
      <c r="P374" s="207">
        <f t="shared" si="169"/>
        <v>7299541</v>
      </c>
      <c r="Q374" s="207">
        <f t="shared" si="169"/>
        <v>4289403</v>
      </c>
      <c r="R374" s="207">
        <f t="shared" si="169"/>
        <v>3555668</v>
      </c>
      <c r="S374" s="207">
        <f t="shared" si="169"/>
        <v>341950</v>
      </c>
      <c r="T374" s="207">
        <f t="shared" si="169"/>
        <v>200000</v>
      </c>
      <c r="U374" s="207">
        <f t="shared" si="169"/>
        <v>200000</v>
      </c>
      <c r="V374" s="207"/>
    </row>
    <row r="375" spans="1:23" hidden="1">
      <c r="C375" s="208"/>
      <c r="G375" t="s">
        <v>230</v>
      </c>
      <c r="H375" s="207">
        <f t="shared" ref="H375:U375" si="170">SUM(H11,H173,H177,H276)</f>
        <v>1920133285</v>
      </c>
      <c r="I375" s="207">
        <f t="shared" si="170"/>
        <v>707430432</v>
      </c>
      <c r="J375" s="207">
        <f t="shared" si="170"/>
        <v>704315673</v>
      </c>
      <c r="K375" s="207">
        <f t="shared" si="170"/>
        <v>202303681</v>
      </c>
      <c r="L375" s="207">
        <f t="shared" si="170"/>
        <v>13000000</v>
      </c>
      <c r="M375" s="207">
        <f t="shared" si="170"/>
        <v>13000000</v>
      </c>
      <c r="N375" s="207">
        <f t="shared" si="170"/>
        <v>15000000</v>
      </c>
      <c r="O375" s="207">
        <f t="shared" si="170"/>
        <v>2826599</v>
      </c>
      <c r="P375" s="207">
        <f t="shared" si="170"/>
        <v>2826599</v>
      </c>
      <c r="Q375" s="207">
        <f t="shared" si="170"/>
        <v>0</v>
      </c>
      <c r="R375" s="207">
        <f t="shared" si="170"/>
        <v>0</v>
      </c>
      <c r="S375" s="207">
        <f t="shared" si="170"/>
        <v>0</v>
      </c>
      <c r="T375" s="207">
        <f t="shared" si="170"/>
        <v>0</v>
      </c>
      <c r="U375" s="207">
        <f t="shared" si="170"/>
        <v>0</v>
      </c>
      <c r="V375" s="207"/>
    </row>
    <row r="376" spans="1:23" hidden="1">
      <c r="H376" s="207"/>
      <c r="I376" s="207"/>
      <c r="J376" s="207"/>
      <c r="K376" s="207"/>
      <c r="L376" s="207"/>
      <c r="M376" s="207"/>
      <c r="N376" s="207"/>
      <c r="O376" s="207"/>
      <c r="P376" s="207"/>
      <c r="Q376" s="207"/>
      <c r="R376" s="207"/>
      <c r="S376" s="207"/>
      <c r="T376" s="207"/>
      <c r="U376" s="207"/>
      <c r="V376" s="207"/>
    </row>
    <row r="377" spans="1:23" hidden="1">
      <c r="H377" s="207">
        <f>SUM(H55,H61,H68,H111,H118,H124,H144,H149,H166,H180,H184,H191,H214,H219,H229,H237,H246,H250,H254,H258,H262,H266,H279,H283,H288,H292,H296,H300,H304,H308,H312,H316,H320,H324,H328,H335,H338,H341,H344,H347,H350)</f>
        <v>249416792</v>
      </c>
      <c r="I377" s="207">
        <f>SUM(I55,I61,I68,I111,I118,I124,I144,I149,I166,I180,I184,I191,I214,I219,I229,I237,I246,I250,I254,I258,I262,I266,I279,I283,I288,I292,I296,I300,I304,I308,I312,I316,I320,I324,I328,I335,I338,I341,I344,I347,I350)</f>
        <v>46251869</v>
      </c>
      <c r="J377" s="207"/>
      <c r="K377" s="207"/>
      <c r="L377" s="207"/>
      <c r="M377" s="207"/>
      <c r="N377" s="207"/>
      <c r="O377" s="207"/>
      <c r="P377" s="207"/>
      <c r="Q377" s="207"/>
      <c r="R377" s="207"/>
      <c r="S377" s="207"/>
      <c r="T377" s="207"/>
      <c r="U377" s="207"/>
      <c r="V377" s="207"/>
    </row>
    <row r="378" spans="1:23" hidden="1">
      <c r="H378" s="207"/>
      <c r="I378" s="207"/>
      <c r="J378" s="207"/>
      <c r="K378" s="207"/>
      <c r="L378" s="207"/>
      <c r="M378" s="207"/>
      <c r="N378" s="207"/>
      <c r="O378" s="207"/>
      <c r="P378" s="207"/>
      <c r="Q378" s="207"/>
      <c r="R378" s="207"/>
      <c r="S378" s="207"/>
      <c r="T378" s="207"/>
      <c r="U378" s="207"/>
      <c r="V378" s="207"/>
    </row>
    <row r="379" spans="1:23" ht="28.5" hidden="1">
      <c r="G379" s="1" t="s">
        <v>231</v>
      </c>
      <c r="H379" s="207">
        <f>SUM(H279,H283,H288,H292,H296,H300,H304,H308,H312,H316,H320,H324,H328)</f>
        <v>8629416</v>
      </c>
      <c r="I379" s="207">
        <f t="shared" ref="I379:V379" si="171">SUM(I279,I283,I288,I292,I296,I300,I304,I308,I312,I316,I320,I324,I328)</f>
        <v>4025968</v>
      </c>
      <c r="J379" s="207">
        <f t="shared" si="171"/>
        <v>1088169</v>
      </c>
      <c r="K379" s="207">
        <f t="shared" si="171"/>
        <v>219838</v>
      </c>
      <c r="L379" s="207">
        <f t="shared" si="171"/>
        <v>0</v>
      </c>
      <c r="M379" s="207">
        <f t="shared" si="171"/>
        <v>0</v>
      </c>
      <c r="N379" s="207">
        <f t="shared" si="171"/>
        <v>0</v>
      </c>
      <c r="O379" s="207">
        <f t="shared" si="171"/>
        <v>0</v>
      </c>
      <c r="P379" s="207">
        <f t="shared" si="171"/>
        <v>0</v>
      </c>
      <c r="Q379" s="207">
        <f t="shared" si="171"/>
        <v>0</v>
      </c>
      <c r="R379" s="207">
        <f t="shared" si="171"/>
        <v>0</v>
      </c>
      <c r="S379" s="207">
        <f t="shared" si="171"/>
        <v>0</v>
      </c>
      <c r="T379" s="207">
        <f t="shared" si="171"/>
        <v>0</v>
      </c>
      <c r="U379" s="207">
        <f t="shared" si="171"/>
        <v>0</v>
      </c>
      <c r="V379" s="207">
        <f t="shared" si="171"/>
        <v>0</v>
      </c>
    </row>
    <row r="380" spans="1:23" hidden="1">
      <c r="A380" s="212"/>
      <c r="B380" s="213"/>
      <c r="C380" s="213"/>
      <c r="D380" s="212"/>
      <c r="E380" s="212"/>
      <c r="F380" s="212"/>
      <c r="G380" s="1" t="s">
        <v>232</v>
      </c>
      <c r="H380" s="214">
        <f>SUM(H284)</f>
        <v>2885126</v>
      </c>
      <c r="I380" s="214">
        <f t="shared" ref="I380:V380" si="172">SUM(I284)</f>
        <v>728280</v>
      </c>
      <c r="J380" s="214">
        <f t="shared" si="172"/>
        <v>742846</v>
      </c>
      <c r="K380" s="214">
        <f t="shared" si="172"/>
        <v>0</v>
      </c>
      <c r="L380" s="214">
        <f t="shared" si="172"/>
        <v>0</v>
      </c>
      <c r="M380" s="214">
        <f t="shared" si="172"/>
        <v>0</v>
      </c>
      <c r="N380" s="214">
        <f t="shared" si="172"/>
        <v>0</v>
      </c>
      <c r="O380" s="214">
        <f t="shared" si="172"/>
        <v>0</v>
      </c>
      <c r="P380" s="214">
        <f t="shared" si="172"/>
        <v>0</v>
      </c>
      <c r="Q380" s="214">
        <f t="shared" si="172"/>
        <v>0</v>
      </c>
      <c r="R380" s="214">
        <f t="shared" si="172"/>
        <v>0</v>
      </c>
      <c r="S380" s="214">
        <f t="shared" si="172"/>
        <v>0</v>
      </c>
      <c r="T380" s="214">
        <f t="shared" si="172"/>
        <v>0</v>
      </c>
      <c r="U380" s="214">
        <f t="shared" si="172"/>
        <v>0</v>
      </c>
      <c r="V380" s="214">
        <f t="shared" si="172"/>
        <v>0</v>
      </c>
    </row>
    <row r="381" spans="1:23" hidden="1">
      <c r="A381" s="212" t="s">
        <v>233</v>
      </c>
      <c r="B381" s="213"/>
      <c r="C381" s="213"/>
      <c r="D381" s="212"/>
      <c r="E381" s="212"/>
      <c r="F381" s="212"/>
      <c r="G381" s="212"/>
      <c r="H381" s="214"/>
      <c r="I381" s="214"/>
      <c r="J381" s="214"/>
      <c r="K381" s="214"/>
      <c r="L381" s="214"/>
      <c r="M381" s="214"/>
      <c r="N381" s="214"/>
      <c r="O381" s="214"/>
      <c r="P381" s="214"/>
      <c r="Q381" s="214"/>
      <c r="R381" s="214"/>
      <c r="S381" s="214"/>
      <c r="T381" s="214"/>
      <c r="U381" s="214"/>
      <c r="V381" s="214"/>
    </row>
    <row r="382" spans="1:23" s="194" customFormat="1" ht="15" hidden="1">
      <c r="A382" s="186" t="s">
        <v>221</v>
      </c>
      <c r="B382" s="187"/>
      <c r="C382" s="188"/>
      <c r="D382" s="189"/>
      <c r="E382" s="190"/>
      <c r="F382" s="191"/>
      <c r="G382" s="192"/>
      <c r="H382" s="193">
        <v>545004453</v>
      </c>
      <c r="I382" s="193">
        <v>229114300</v>
      </c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>
        <v>1699528665</v>
      </c>
    </row>
    <row r="383" spans="1:23" s="194" customFormat="1" ht="15" hidden="1">
      <c r="A383" s="195"/>
      <c r="B383" s="196" t="s">
        <v>19</v>
      </c>
      <c r="C383" s="197"/>
      <c r="D383" s="189"/>
      <c r="E383" s="198"/>
      <c r="F383" s="199"/>
      <c r="G383" s="192"/>
      <c r="H383" s="193">
        <v>237799026</v>
      </c>
      <c r="I383" s="193">
        <v>129008790</v>
      </c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</row>
    <row r="384" spans="1:23" s="194" customFormat="1" ht="15" hidden="1">
      <c r="A384" s="200"/>
      <c r="B384" s="196" t="s">
        <v>51</v>
      </c>
      <c r="C384" s="197"/>
      <c r="D384" s="189"/>
      <c r="E384" s="198"/>
      <c r="F384" s="199"/>
      <c r="G384" s="192"/>
      <c r="H384" s="193">
        <v>188229016</v>
      </c>
      <c r="I384" s="193">
        <v>69933650</v>
      </c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</row>
    <row r="385" spans="1:22" s="194" customFormat="1" ht="15" hidden="1">
      <c r="A385" s="200"/>
      <c r="B385" s="196" t="s">
        <v>20</v>
      </c>
      <c r="C385" s="197"/>
      <c r="D385" s="189"/>
      <c r="E385" s="198"/>
      <c r="F385" s="199"/>
      <c r="G385" s="192"/>
      <c r="H385" s="193">
        <v>111250350</v>
      </c>
      <c r="I385" s="193">
        <v>30001860</v>
      </c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</row>
    <row r="386" spans="1:22" s="194" customFormat="1" ht="15" hidden="1">
      <c r="A386" s="195"/>
      <c r="B386" s="196" t="s">
        <v>132</v>
      </c>
      <c r="C386" s="197"/>
      <c r="D386" s="189"/>
      <c r="E386" s="198"/>
      <c r="F386" s="199"/>
      <c r="G386" s="192" t="s">
        <v>222</v>
      </c>
      <c r="H386" s="193">
        <v>7726061</v>
      </c>
      <c r="I386" s="193">
        <v>170000</v>
      </c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</row>
    <row r="387" spans="1:22" s="194" customFormat="1" ht="15" hidden="1">
      <c r="A387" s="201" t="s">
        <v>10</v>
      </c>
      <c r="B387" s="202"/>
      <c r="C387" s="203"/>
      <c r="D387" s="189"/>
      <c r="E387" s="204"/>
      <c r="F387" s="205"/>
      <c r="G387" s="192"/>
      <c r="H387" s="193">
        <v>186524614</v>
      </c>
      <c r="I387" s="193">
        <v>77467713</v>
      </c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</row>
    <row r="388" spans="1:22" s="194" customFormat="1" ht="15" hidden="1">
      <c r="A388" s="195"/>
      <c r="B388" s="196" t="s">
        <v>19</v>
      </c>
      <c r="C388" s="197"/>
      <c r="D388" s="189"/>
      <c r="E388" s="198"/>
      <c r="F388" s="199"/>
      <c r="G388" s="192"/>
      <c r="H388" s="193">
        <v>48387176</v>
      </c>
      <c r="I388" s="193">
        <v>16959279</v>
      </c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</row>
    <row r="389" spans="1:22" s="194" customFormat="1" ht="15" hidden="1">
      <c r="A389" s="200"/>
      <c r="B389" s="196" t="s">
        <v>51</v>
      </c>
      <c r="C389" s="197"/>
      <c r="D389" s="189"/>
      <c r="E389" s="198"/>
      <c r="F389" s="199"/>
      <c r="G389" s="192"/>
      <c r="H389" s="193">
        <v>122780586</v>
      </c>
      <c r="I389" s="193">
        <v>56684128</v>
      </c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</row>
    <row r="390" spans="1:22" s="194" customFormat="1" ht="15" hidden="1">
      <c r="A390" s="200"/>
      <c r="B390" s="196" t="s">
        <v>20</v>
      </c>
      <c r="C390" s="197"/>
      <c r="D390" s="189"/>
      <c r="E390" s="198"/>
      <c r="F390" s="199"/>
      <c r="G390" s="192"/>
      <c r="H390" s="193">
        <v>7796852</v>
      </c>
      <c r="I390" s="193">
        <v>3654306</v>
      </c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</row>
    <row r="391" spans="1:22" s="194" customFormat="1" ht="15" hidden="1">
      <c r="A391" s="195"/>
      <c r="B391" s="196" t="s">
        <v>132</v>
      </c>
      <c r="C391" s="197"/>
      <c r="D391" s="189"/>
      <c r="E391" s="198"/>
      <c r="F391" s="199"/>
      <c r="G391" s="192"/>
      <c r="H391" s="193">
        <v>7560000</v>
      </c>
      <c r="I391" s="193">
        <v>170000</v>
      </c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</row>
    <row r="392" spans="1:22" s="194" customFormat="1" ht="15" hidden="1">
      <c r="A392" s="201" t="s">
        <v>11</v>
      </c>
      <c r="B392" s="202"/>
      <c r="C392" s="203"/>
      <c r="D392" s="189"/>
      <c r="E392" s="204"/>
      <c r="F392" s="205"/>
      <c r="G392" s="192"/>
      <c r="H392" s="193">
        <v>358479839</v>
      </c>
      <c r="I392" s="193">
        <v>151646587</v>
      </c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</row>
    <row r="393" spans="1:22" s="194" customFormat="1" ht="15" hidden="1">
      <c r="A393" s="195"/>
      <c r="B393" s="196" t="s">
        <v>19</v>
      </c>
      <c r="C393" s="197"/>
      <c r="D393" s="189"/>
      <c r="E393" s="198"/>
      <c r="F393" s="199"/>
      <c r="G393" s="192"/>
      <c r="H393" s="193">
        <v>189411850</v>
      </c>
      <c r="I393" s="193">
        <v>112049511</v>
      </c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</row>
    <row r="394" spans="1:22" s="194" customFormat="1" ht="15" hidden="1">
      <c r="A394" s="200"/>
      <c r="B394" s="196" t="s">
        <v>51</v>
      </c>
      <c r="C394" s="197"/>
      <c r="D394" s="189"/>
      <c r="E394" s="198"/>
      <c r="F394" s="199"/>
      <c r="G394" s="192"/>
      <c r="H394" s="193">
        <v>65448430</v>
      </c>
      <c r="I394" s="193">
        <v>13249522</v>
      </c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</row>
    <row r="395" spans="1:22" s="194" customFormat="1" ht="15" hidden="1">
      <c r="A395" s="200"/>
      <c r="B395" s="196" t="s">
        <v>20</v>
      </c>
      <c r="C395" s="197"/>
      <c r="D395" s="189"/>
      <c r="E395" s="198"/>
      <c r="F395" s="199"/>
      <c r="G395" s="192"/>
      <c r="H395" s="193">
        <v>103453498</v>
      </c>
      <c r="I395" s="193">
        <v>26347554</v>
      </c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</row>
    <row r="396" spans="1:22" s="194" customFormat="1" ht="13.5" hidden="1" customHeight="1">
      <c r="A396" s="195"/>
      <c r="B396" s="196" t="s">
        <v>132</v>
      </c>
      <c r="C396" s="197"/>
      <c r="D396" s="189"/>
      <c r="E396" s="198"/>
      <c r="F396" s="199"/>
      <c r="G396" s="192"/>
      <c r="H396" s="193">
        <v>166061</v>
      </c>
      <c r="I396" s="193">
        <v>0</v>
      </c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</row>
    <row r="397" spans="1:22" hidden="1">
      <c r="A397" s="212"/>
      <c r="B397" s="213"/>
      <c r="C397" s="213"/>
      <c r="D397" s="212"/>
      <c r="E397" s="212"/>
      <c r="F397" s="212"/>
      <c r="G397" s="212"/>
      <c r="H397" s="214"/>
      <c r="I397" s="214"/>
      <c r="J397" s="214"/>
      <c r="K397" s="214"/>
      <c r="L397" s="214"/>
      <c r="M397" s="214"/>
      <c r="N397" s="214"/>
      <c r="O397" s="214"/>
      <c r="P397" s="214"/>
      <c r="Q397" s="214"/>
      <c r="R397" s="214"/>
      <c r="S397" s="214"/>
      <c r="T397" s="214"/>
      <c r="U397" s="214"/>
      <c r="V397" s="214"/>
    </row>
    <row r="398" spans="1:22" hidden="1">
      <c r="A398" s="212" t="s">
        <v>234</v>
      </c>
      <c r="B398" s="213"/>
      <c r="C398" s="213"/>
      <c r="D398" s="212"/>
      <c r="E398" s="212"/>
      <c r="F398" s="212"/>
      <c r="G398" s="212"/>
      <c r="H398" s="214"/>
      <c r="I398" s="214"/>
      <c r="J398" s="214"/>
      <c r="K398" s="214"/>
      <c r="L398" s="214"/>
      <c r="M398" s="214"/>
      <c r="N398" s="214"/>
      <c r="O398" s="214"/>
      <c r="P398" s="214"/>
      <c r="Q398" s="214"/>
      <c r="R398" s="214"/>
      <c r="S398" s="214"/>
      <c r="T398" s="214"/>
      <c r="U398" s="214"/>
      <c r="V398" s="214"/>
    </row>
    <row r="399" spans="1:22" s="194" customFormat="1" ht="15" hidden="1">
      <c r="A399" s="186" t="s">
        <v>221</v>
      </c>
      <c r="B399" s="187"/>
      <c r="C399" s="188"/>
      <c r="D399" s="189"/>
      <c r="E399" s="190"/>
      <c r="F399" s="191"/>
      <c r="G399" s="192"/>
      <c r="H399" s="193">
        <f>SUM(H404,H409)</f>
        <v>3135671877</v>
      </c>
      <c r="I399" s="193">
        <f t="shared" ref="I399:V400" si="173">SUM(I404,I409)</f>
        <v>1080251348</v>
      </c>
      <c r="J399" s="193">
        <f t="shared" si="173"/>
        <v>829741854</v>
      </c>
      <c r="K399" s="193">
        <f t="shared" si="173"/>
        <v>258654854</v>
      </c>
      <c r="L399" s="193">
        <f t="shared" si="173"/>
        <v>29713458</v>
      </c>
      <c r="M399" s="193">
        <f t="shared" si="173"/>
        <v>24690096</v>
      </c>
      <c r="N399" s="193">
        <f t="shared" si="173"/>
        <v>23597136</v>
      </c>
      <c r="O399" s="193">
        <f t="shared" si="173"/>
        <v>10568311</v>
      </c>
      <c r="P399" s="193">
        <f t="shared" si="173"/>
        <v>10126140</v>
      </c>
      <c r="Q399" s="193">
        <f t="shared" si="173"/>
        <v>4289403</v>
      </c>
      <c r="R399" s="193">
        <f t="shared" si="173"/>
        <v>3555668</v>
      </c>
      <c r="S399" s="193">
        <f t="shared" si="173"/>
        <v>341950</v>
      </c>
      <c r="T399" s="193">
        <f t="shared" si="173"/>
        <v>200000</v>
      </c>
      <c r="U399" s="193">
        <f t="shared" si="173"/>
        <v>200000</v>
      </c>
      <c r="V399" s="193">
        <f t="shared" si="173"/>
        <v>0</v>
      </c>
    </row>
    <row r="400" spans="1:22" s="194" customFormat="1" ht="15" hidden="1">
      <c r="A400" s="195"/>
      <c r="B400" s="196" t="s">
        <v>19</v>
      </c>
      <c r="C400" s="197"/>
      <c r="D400" s="189"/>
      <c r="E400" s="198"/>
      <c r="F400" s="199"/>
      <c r="G400" s="192"/>
      <c r="H400" s="193">
        <f>SUM(H405,H410)</f>
        <v>1420787974</v>
      </c>
      <c r="I400" s="193">
        <f t="shared" si="173"/>
        <v>659906985</v>
      </c>
      <c r="J400" s="193">
        <f t="shared" si="173"/>
        <v>493625355</v>
      </c>
      <c r="K400" s="193">
        <f t="shared" si="173"/>
        <v>92952034</v>
      </c>
      <c r="L400" s="193">
        <f t="shared" si="173"/>
        <v>0</v>
      </c>
      <c r="M400" s="193">
        <f t="shared" si="173"/>
        <v>0</v>
      </c>
      <c r="N400" s="193">
        <f t="shared" si="173"/>
        <v>0</v>
      </c>
      <c r="O400" s="193">
        <f t="shared" si="173"/>
        <v>0</v>
      </c>
      <c r="P400" s="193">
        <f t="shared" si="173"/>
        <v>0</v>
      </c>
      <c r="Q400" s="193">
        <f t="shared" si="173"/>
        <v>0</v>
      </c>
      <c r="R400" s="193">
        <f t="shared" si="173"/>
        <v>0</v>
      </c>
      <c r="S400" s="193">
        <f t="shared" si="173"/>
        <v>0</v>
      </c>
      <c r="T400" s="193">
        <f t="shared" si="173"/>
        <v>0</v>
      </c>
      <c r="U400" s="193">
        <f t="shared" si="173"/>
        <v>0</v>
      </c>
      <c r="V400" s="193">
        <f t="shared" si="173"/>
        <v>0</v>
      </c>
    </row>
    <row r="401" spans="1:22" s="194" customFormat="1" ht="15" hidden="1">
      <c r="A401" s="200"/>
      <c r="B401" s="196" t="s">
        <v>51</v>
      </c>
      <c r="C401" s="197"/>
      <c r="D401" s="189"/>
      <c r="E401" s="198"/>
      <c r="F401" s="199"/>
      <c r="G401" s="192"/>
      <c r="H401" s="193">
        <f t="shared" ref="H401:V403" si="174">SUM(H406,H411)</f>
        <v>778941479</v>
      </c>
      <c r="I401" s="193">
        <f t="shared" si="174"/>
        <v>214063458</v>
      </c>
      <c r="J401" s="193">
        <f t="shared" si="174"/>
        <v>154078842</v>
      </c>
      <c r="K401" s="193">
        <f t="shared" si="174"/>
        <v>88707962</v>
      </c>
      <c r="L401" s="193">
        <f t="shared" si="174"/>
        <v>22880958</v>
      </c>
      <c r="M401" s="193">
        <f t="shared" si="174"/>
        <v>21690096</v>
      </c>
      <c r="N401" s="193">
        <f t="shared" si="174"/>
        <v>23597136</v>
      </c>
      <c r="O401" s="193">
        <f t="shared" si="174"/>
        <v>10568311</v>
      </c>
      <c r="P401" s="193">
        <f t="shared" si="174"/>
        <v>10126140</v>
      </c>
      <c r="Q401" s="193">
        <f t="shared" si="174"/>
        <v>4289403</v>
      </c>
      <c r="R401" s="193">
        <f t="shared" si="174"/>
        <v>3555668</v>
      </c>
      <c r="S401" s="193">
        <f t="shared" si="174"/>
        <v>341950</v>
      </c>
      <c r="T401" s="193">
        <f t="shared" si="174"/>
        <v>200000</v>
      </c>
      <c r="U401" s="193">
        <f t="shared" si="174"/>
        <v>200000</v>
      </c>
      <c r="V401" s="193">
        <f t="shared" si="174"/>
        <v>0</v>
      </c>
    </row>
    <row r="402" spans="1:22" s="194" customFormat="1" ht="15" hidden="1">
      <c r="A402" s="200"/>
      <c r="B402" s="196" t="s">
        <v>20</v>
      </c>
      <c r="C402" s="197"/>
      <c r="D402" s="189"/>
      <c r="E402" s="198"/>
      <c r="F402" s="199"/>
      <c r="G402" s="192"/>
      <c r="H402" s="193">
        <f t="shared" si="174"/>
        <v>870094877</v>
      </c>
      <c r="I402" s="193">
        <f t="shared" si="174"/>
        <v>200840180</v>
      </c>
      <c r="J402" s="193">
        <f t="shared" si="174"/>
        <v>171920781</v>
      </c>
      <c r="K402" s="193">
        <f t="shared" si="174"/>
        <v>63492203</v>
      </c>
      <c r="L402" s="193">
        <f t="shared" si="174"/>
        <v>0</v>
      </c>
      <c r="M402" s="193">
        <f t="shared" si="174"/>
        <v>0</v>
      </c>
      <c r="N402" s="193">
        <f t="shared" si="174"/>
        <v>0</v>
      </c>
      <c r="O402" s="193">
        <f t="shared" si="174"/>
        <v>0</v>
      </c>
      <c r="P402" s="193">
        <f t="shared" si="174"/>
        <v>0</v>
      </c>
      <c r="Q402" s="193">
        <f t="shared" si="174"/>
        <v>0</v>
      </c>
      <c r="R402" s="193">
        <f t="shared" si="174"/>
        <v>0</v>
      </c>
      <c r="S402" s="193">
        <f t="shared" si="174"/>
        <v>0</v>
      </c>
      <c r="T402" s="193">
        <f t="shared" si="174"/>
        <v>0</v>
      </c>
      <c r="U402" s="193">
        <f t="shared" si="174"/>
        <v>0</v>
      </c>
      <c r="V402" s="193">
        <f t="shared" si="174"/>
        <v>0</v>
      </c>
    </row>
    <row r="403" spans="1:22" s="194" customFormat="1" ht="15" hidden="1">
      <c r="A403" s="195"/>
      <c r="B403" s="196" t="s">
        <v>132</v>
      </c>
      <c r="C403" s="197"/>
      <c r="D403" s="189"/>
      <c r="E403" s="198"/>
      <c r="F403" s="199"/>
      <c r="G403" s="192" t="s">
        <v>222</v>
      </c>
      <c r="H403" s="193">
        <f t="shared" si="174"/>
        <v>65847547</v>
      </c>
      <c r="I403" s="193">
        <f t="shared" si="174"/>
        <v>5440725</v>
      </c>
      <c r="J403" s="193">
        <f t="shared" si="174"/>
        <v>10116876</v>
      </c>
      <c r="K403" s="193">
        <f t="shared" si="174"/>
        <v>13502655</v>
      </c>
      <c r="L403" s="193">
        <f t="shared" si="174"/>
        <v>6832500</v>
      </c>
      <c r="M403" s="193">
        <f t="shared" si="174"/>
        <v>3000000</v>
      </c>
      <c r="N403" s="193">
        <f t="shared" si="174"/>
        <v>0</v>
      </c>
      <c r="O403" s="193">
        <f t="shared" si="174"/>
        <v>0</v>
      </c>
      <c r="P403" s="193">
        <f t="shared" si="174"/>
        <v>0</v>
      </c>
      <c r="Q403" s="193">
        <f t="shared" si="174"/>
        <v>0</v>
      </c>
      <c r="R403" s="193">
        <f t="shared" si="174"/>
        <v>0</v>
      </c>
      <c r="S403" s="193">
        <f t="shared" si="174"/>
        <v>0</v>
      </c>
      <c r="T403" s="193">
        <f t="shared" si="174"/>
        <v>0</v>
      </c>
      <c r="U403" s="193">
        <f t="shared" si="174"/>
        <v>0</v>
      </c>
      <c r="V403" s="193">
        <f t="shared" si="174"/>
        <v>0</v>
      </c>
    </row>
    <row r="404" spans="1:22" s="194" customFormat="1" ht="15" hidden="1">
      <c r="A404" s="201" t="s">
        <v>10</v>
      </c>
      <c r="B404" s="202"/>
      <c r="C404" s="203"/>
      <c r="D404" s="189"/>
      <c r="E404" s="204"/>
      <c r="F404" s="205"/>
      <c r="G404" s="192"/>
      <c r="H404" s="193">
        <f>SUM(H405:H408)</f>
        <v>857058753</v>
      </c>
      <c r="I404" s="193">
        <f t="shared" ref="I404:V404" si="175">SUM(I405:I408)</f>
        <v>221174329</v>
      </c>
      <c r="J404" s="193">
        <f t="shared" si="175"/>
        <v>125426181</v>
      </c>
      <c r="K404" s="193">
        <f t="shared" si="175"/>
        <v>56351173</v>
      </c>
      <c r="L404" s="193">
        <f t="shared" si="175"/>
        <v>16713458</v>
      </c>
      <c r="M404" s="193">
        <f t="shared" si="175"/>
        <v>11690096</v>
      </c>
      <c r="N404" s="193">
        <f t="shared" si="175"/>
        <v>8597136</v>
      </c>
      <c r="O404" s="193">
        <f t="shared" si="175"/>
        <v>7741712</v>
      </c>
      <c r="P404" s="193">
        <f t="shared" si="175"/>
        <v>7299541</v>
      </c>
      <c r="Q404" s="193">
        <f t="shared" si="175"/>
        <v>4289403</v>
      </c>
      <c r="R404" s="193">
        <f t="shared" si="175"/>
        <v>3555668</v>
      </c>
      <c r="S404" s="193">
        <f t="shared" si="175"/>
        <v>341950</v>
      </c>
      <c r="T404" s="193">
        <f t="shared" si="175"/>
        <v>200000</v>
      </c>
      <c r="U404" s="193">
        <f t="shared" si="175"/>
        <v>200000</v>
      </c>
      <c r="V404" s="193">
        <f t="shared" si="175"/>
        <v>0</v>
      </c>
    </row>
    <row r="405" spans="1:22" s="194" customFormat="1" ht="15" hidden="1">
      <c r="A405" s="195"/>
      <c r="B405" s="196" t="s">
        <v>19</v>
      </c>
      <c r="C405" s="197"/>
      <c r="D405" s="189"/>
      <c r="E405" s="198"/>
      <c r="F405" s="199"/>
      <c r="G405" s="192"/>
      <c r="H405" s="193">
        <f>SUM(H358+H388)</f>
        <v>128690632</v>
      </c>
      <c r="I405" s="193">
        <f t="shared" ref="I405:V405" si="176">SUM(I358+I388)</f>
        <v>43705937</v>
      </c>
      <c r="J405" s="193">
        <f t="shared" si="176"/>
        <v>35163300</v>
      </c>
      <c r="K405" s="193">
        <f t="shared" si="176"/>
        <v>881900</v>
      </c>
      <c r="L405" s="193">
        <f t="shared" si="176"/>
        <v>0</v>
      </c>
      <c r="M405" s="193">
        <f t="shared" si="176"/>
        <v>0</v>
      </c>
      <c r="N405" s="193">
        <f t="shared" si="176"/>
        <v>0</v>
      </c>
      <c r="O405" s="193">
        <f t="shared" si="176"/>
        <v>0</v>
      </c>
      <c r="P405" s="193">
        <f t="shared" si="176"/>
        <v>0</v>
      </c>
      <c r="Q405" s="193">
        <f t="shared" si="176"/>
        <v>0</v>
      </c>
      <c r="R405" s="193">
        <f t="shared" si="176"/>
        <v>0</v>
      </c>
      <c r="S405" s="193">
        <f t="shared" si="176"/>
        <v>0</v>
      </c>
      <c r="T405" s="193">
        <f t="shared" si="176"/>
        <v>0</v>
      </c>
      <c r="U405" s="193">
        <f t="shared" si="176"/>
        <v>0</v>
      </c>
      <c r="V405" s="193">
        <f t="shared" si="176"/>
        <v>0</v>
      </c>
    </row>
    <row r="406" spans="1:22" s="194" customFormat="1" ht="15" hidden="1">
      <c r="A406" s="200"/>
      <c r="B406" s="196" t="s">
        <v>51</v>
      </c>
      <c r="C406" s="197"/>
      <c r="D406" s="189"/>
      <c r="E406" s="198"/>
      <c r="F406" s="199"/>
      <c r="G406" s="192"/>
      <c r="H406" s="193">
        <f t="shared" ref="H406:V408" si="177">SUM(H359+H389)</f>
        <v>372197378</v>
      </c>
      <c r="I406" s="193">
        <f t="shared" si="177"/>
        <v>102935997</v>
      </c>
      <c r="J406" s="193">
        <f t="shared" si="177"/>
        <v>30372356</v>
      </c>
      <c r="K406" s="193">
        <f t="shared" si="177"/>
        <v>27737732</v>
      </c>
      <c r="L406" s="193">
        <f t="shared" si="177"/>
        <v>12880958</v>
      </c>
      <c r="M406" s="193">
        <f t="shared" si="177"/>
        <v>11690096</v>
      </c>
      <c r="N406" s="193">
        <f t="shared" si="177"/>
        <v>8597136</v>
      </c>
      <c r="O406" s="193">
        <f t="shared" si="177"/>
        <v>7741712</v>
      </c>
      <c r="P406" s="193">
        <f t="shared" si="177"/>
        <v>7299541</v>
      </c>
      <c r="Q406" s="193">
        <f t="shared" si="177"/>
        <v>4289403</v>
      </c>
      <c r="R406" s="193">
        <f t="shared" si="177"/>
        <v>3555668</v>
      </c>
      <c r="S406" s="193">
        <f t="shared" si="177"/>
        <v>341950</v>
      </c>
      <c r="T406" s="193">
        <f t="shared" si="177"/>
        <v>200000</v>
      </c>
      <c r="U406" s="193">
        <f t="shared" si="177"/>
        <v>200000</v>
      </c>
      <c r="V406" s="193">
        <f t="shared" si="177"/>
        <v>0</v>
      </c>
    </row>
    <row r="407" spans="1:22" s="194" customFormat="1" ht="15" hidden="1">
      <c r="A407" s="200"/>
      <c r="B407" s="196" t="s">
        <v>20</v>
      </c>
      <c r="C407" s="197"/>
      <c r="D407" s="189"/>
      <c r="E407" s="198"/>
      <c r="F407" s="199"/>
      <c r="G407" s="192"/>
      <c r="H407" s="193">
        <f t="shared" si="177"/>
        <v>338310743</v>
      </c>
      <c r="I407" s="193">
        <f t="shared" si="177"/>
        <v>74262395</v>
      </c>
      <c r="J407" s="193">
        <f t="shared" si="177"/>
        <v>57310525</v>
      </c>
      <c r="K407" s="193">
        <f t="shared" si="177"/>
        <v>23944041</v>
      </c>
      <c r="L407" s="193">
        <f t="shared" si="177"/>
        <v>0</v>
      </c>
      <c r="M407" s="193">
        <f t="shared" si="177"/>
        <v>0</v>
      </c>
      <c r="N407" s="193">
        <f t="shared" si="177"/>
        <v>0</v>
      </c>
      <c r="O407" s="193">
        <f t="shared" si="177"/>
        <v>0</v>
      </c>
      <c r="P407" s="193">
        <f t="shared" si="177"/>
        <v>0</v>
      </c>
      <c r="Q407" s="193">
        <f t="shared" si="177"/>
        <v>0</v>
      </c>
      <c r="R407" s="193">
        <f t="shared" si="177"/>
        <v>0</v>
      </c>
      <c r="S407" s="193">
        <f t="shared" si="177"/>
        <v>0</v>
      </c>
      <c r="T407" s="193">
        <f t="shared" si="177"/>
        <v>0</v>
      </c>
      <c r="U407" s="193">
        <f t="shared" si="177"/>
        <v>0</v>
      </c>
      <c r="V407" s="193">
        <f t="shared" si="177"/>
        <v>0</v>
      </c>
    </row>
    <row r="408" spans="1:22" s="194" customFormat="1" ht="15" hidden="1">
      <c r="A408" s="195"/>
      <c r="B408" s="196" t="s">
        <v>132</v>
      </c>
      <c r="C408" s="197"/>
      <c r="D408" s="189"/>
      <c r="E408" s="198"/>
      <c r="F408" s="199"/>
      <c r="G408" s="192"/>
      <c r="H408" s="193">
        <f t="shared" si="177"/>
        <v>17860000</v>
      </c>
      <c r="I408" s="193">
        <f t="shared" si="177"/>
        <v>270000</v>
      </c>
      <c r="J408" s="193">
        <f t="shared" si="177"/>
        <v>2580000</v>
      </c>
      <c r="K408" s="193">
        <f t="shared" si="177"/>
        <v>3787500</v>
      </c>
      <c r="L408" s="193">
        <f t="shared" si="177"/>
        <v>3832500</v>
      </c>
      <c r="M408" s="193">
        <f t="shared" si="177"/>
        <v>0</v>
      </c>
      <c r="N408" s="193">
        <f t="shared" si="177"/>
        <v>0</v>
      </c>
      <c r="O408" s="193">
        <f t="shared" si="177"/>
        <v>0</v>
      </c>
      <c r="P408" s="193">
        <f t="shared" si="177"/>
        <v>0</v>
      </c>
      <c r="Q408" s="193">
        <f t="shared" si="177"/>
        <v>0</v>
      </c>
      <c r="R408" s="193">
        <f t="shared" si="177"/>
        <v>0</v>
      </c>
      <c r="S408" s="193">
        <f t="shared" si="177"/>
        <v>0</v>
      </c>
      <c r="T408" s="193">
        <f t="shared" si="177"/>
        <v>0</v>
      </c>
      <c r="U408" s="193">
        <f t="shared" si="177"/>
        <v>0</v>
      </c>
      <c r="V408" s="193">
        <f t="shared" si="177"/>
        <v>0</v>
      </c>
    </row>
    <row r="409" spans="1:22" s="194" customFormat="1" ht="15" hidden="1">
      <c r="A409" s="201" t="s">
        <v>11</v>
      </c>
      <c r="B409" s="202"/>
      <c r="C409" s="203"/>
      <c r="D409" s="189"/>
      <c r="E409" s="204"/>
      <c r="F409" s="205"/>
      <c r="G409" s="192"/>
      <c r="H409" s="193">
        <f t="shared" ref="H409:V409" si="178">SUM(H410:H413)</f>
        <v>2278613124</v>
      </c>
      <c r="I409" s="193">
        <f t="shared" si="178"/>
        <v>859077019</v>
      </c>
      <c r="J409" s="193">
        <f t="shared" si="178"/>
        <v>704315673</v>
      </c>
      <c r="K409" s="193">
        <f t="shared" si="178"/>
        <v>202303681</v>
      </c>
      <c r="L409" s="193">
        <f t="shared" si="178"/>
        <v>13000000</v>
      </c>
      <c r="M409" s="193">
        <f t="shared" si="178"/>
        <v>13000000</v>
      </c>
      <c r="N409" s="193">
        <f t="shared" si="178"/>
        <v>15000000</v>
      </c>
      <c r="O409" s="193">
        <f t="shared" si="178"/>
        <v>2826599</v>
      </c>
      <c r="P409" s="193">
        <f t="shared" si="178"/>
        <v>2826599</v>
      </c>
      <c r="Q409" s="193">
        <f t="shared" si="178"/>
        <v>0</v>
      </c>
      <c r="R409" s="193">
        <f t="shared" si="178"/>
        <v>0</v>
      </c>
      <c r="S409" s="193">
        <f t="shared" si="178"/>
        <v>0</v>
      </c>
      <c r="T409" s="193">
        <f t="shared" si="178"/>
        <v>0</v>
      </c>
      <c r="U409" s="193">
        <f t="shared" si="178"/>
        <v>0</v>
      </c>
      <c r="V409" s="193">
        <f t="shared" si="178"/>
        <v>0</v>
      </c>
    </row>
    <row r="410" spans="1:22" s="194" customFormat="1" ht="15" hidden="1">
      <c r="A410" s="195"/>
      <c r="B410" s="196" t="s">
        <v>19</v>
      </c>
      <c r="C410" s="197"/>
      <c r="D410" s="189"/>
      <c r="E410" s="198"/>
      <c r="F410" s="199"/>
      <c r="G410" s="192"/>
      <c r="H410" s="193">
        <f>SUM(H363+H393)</f>
        <v>1292097342</v>
      </c>
      <c r="I410" s="193">
        <f t="shared" ref="I410:V410" si="179">SUM(I363+I393)</f>
        <v>616201048</v>
      </c>
      <c r="J410" s="193">
        <f t="shared" si="179"/>
        <v>458462055</v>
      </c>
      <c r="K410" s="193">
        <f t="shared" si="179"/>
        <v>92070134</v>
      </c>
      <c r="L410" s="193">
        <f t="shared" si="179"/>
        <v>0</v>
      </c>
      <c r="M410" s="193">
        <f t="shared" si="179"/>
        <v>0</v>
      </c>
      <c r="N410" s="193">
        <f t="shared" si="179"/>
        <v>0</v>
      </c>
      <c r="O410" s="193">
        <f t="shared" si="179"/>
        <v>0</v>
      </c>
      <c r="P410" s="193">
        <f t="shared" si="179"/>
        <v>0</v>
      </c>
      <c r="Q410" s="193">
        <f t="shared" si="179"/>
        <v>0</v>
      </c>
      <c r="R410" s="193">
        <f t="shared" si="179"/>
        <v>0</v>
      </c>
      <c r="S410" s="193">
        <f t="shared" si="179"/>
        <v>0</v>
      </c>
      <c r="T410" s="193">
        <f t="shared" si="179"/>
        <v>0</v>
      </c>
      <c r="U410" s="193">
        <f t="shared" si="179"/>
        <v>0</v>
      </c>
      <c r="V410" s="193">
        <f t="shared" si="179"/>
        <v>0</v>
      </c>
    </row>
    <row r="411" spans="1:22" s="194" customFormat="1" ht="15" hidden="1">
      <c r="A411" s="200"/>
      <c r="B411" s="196" t="s">
        <v>51</v>
      </c>
      <c r="C411" s="197"/>
      <c r="D411" s="189"/>
      <c r="E411" s="198"/>
      <c r="F411" s="199"/>
      <c r="G411" s="192"/>
      <c r="H411" s="193">
        <f t="shared" ref="H411:V413" si="180">SUM(H364+H394)</f>
        <v>406744101</v>
      </c>
      <c r="I411" s="193">
        <f t="shared" si="180"/>
        <v>111127461</v>
      </c>
      <c r="J411" s="193">
        <f t="shared" si="180"/>
        <v>123706486</v>
      </c>
      <c r="K411" s="193">
        <f t="shared" si="180"/>
        <v>60970230</v>
      </c>
      <c r="L411" s="193">
        <f t="shared" si="180"/>
        <v>10000000</v>
      </c>
      <c r="M411" s="193">
        <f t="shared" si="180"/>
        <v>10000000</v>
      </c>
      <c r="N411" s="193">
        <f t="shared" si="180"/>
        <v>15000000</v>
      </c>
      <c r="O411" s="193">
        <f t="shared" si="180"/>
        <v>2826599</v>
      </c>
      <c r="P411" s="193">
        <f t="shared" si="180"/>
        <v>2826599</v>
      </c>
      <c r="Q411" s="193">
        <f t="shared" si="180"/>
        <v>0</v>
      </c>
      <c r="R411" s="193">
        <f t="shared" si="180"/>
        <v>0</v>
      </c>
      <c r="S411" s="193">
        <f t="shared" si="180"/>
        <v>0</v>
      </c>
      <c r="T411" s="193">
        <f t="shared" si="180"/>
        <v>0</v>
      </c>
      <c r="U411" s="193">
        <f t="shared" si="180"/>
        <v>0</v>
      </c>
      <c r="V411" s="193">
        <f t="shared" si="180"/>
        <v>0</v>
      </c>
    </row>
    <row r="412" spans="1:22" s="194" customFormat="1" ht="15" hidden="1">
      <c r="A412" s="200"/>
      <c r="B412" s="196" t="s">
        <v>20</v>
      </c>
      <c r="C412" s="197"/>
      <c r="D412" s="189"/>
      <c r="E412" s="198"/>
      <c r="F412" s="199"/>
      <c r="G412" s="192"/>
      <c r="H412" s="193">
        <f t="shared" si="180"/>
        <v>531784134</v>
      </c>
      <c r="I412" s="193">
        <f t="shared" si="180"/>
        <v>126577785</v>
      </c>
      <c r="J412" s="193">
        <f t="shared" si="180"/>
        <v>114610256</v>
      </c>
      <c r="K412" s="193">
        <f t="shared" si="180"/>
        <v>39548162</v>
      </c>
      <c r="L412" s="193">
        <f t="shared" si="180"/>
        <v>0</v>
      </c>
      <c r="M412" s="193">
        <f t="shared" si="180"/>
        <v>0</v>
      </c>
      <c r="N412" s="193">
        <f t="shared" si="180"/>
        <v>0</v>
      </c>
      <c r="O412" s="193">
        <f t="shared" si="180"/>
        <v>0</v>
      </c>
      <c r="P412" s="193">
        <f t="shared" si="180"/>
        <v>0</v>
      </c>
      <c r="Q412" s="193">
        <f t="shared" si="180"/>
        <v>0</v>
      </c>
      <c r="R412" s="193">
        <f t="shared" si="180"/>
        <v>0</v>
      </c>
      <c r="S412" s="193">
        <f t="shared" si="180"/>
        <v>0</v>
      </c>
      <c r="T412" s="193">
        <f t="shared" si="180"/>
        <v>0</v>
      </c>
      <c r="U412" s="193">
        <f t="shared" si="180"/>
        <v>0</v>
      </c>
      <c r="V412" s="193">
        <f t="shared" si="180"/>
        <v>0</v>
      </c>
    </row>
    <row r="413" spans="1:22" s="194" customFormat="1" ht="13.5" hidden="1" customHeight="1">
      <c r="A413" s="195"/>
      <c r="B413" s="196" t="s">
        <v>132</v>
      </c>
      <c r="C413" s="197"/>
      <c r="D413" s="189"/>
      <c r="E413" s="198"/>
      <c r="F413" s="199"/>
      <c r="G413" s="192"/>
      <c r="H413" s="193">
        <f t="shared" si="180"/>
        <v>47987547</v>
      </c>
      <c r="I413" s="193">
        <f t="shared" si="180"/>
        <v>5170725</v>
      </c>
      <c r="J413" s="193">
        <f t="shared" si="180"/>
        <v>7536876</v>
      </c>
      <c r="K413" s="193">
        <f t="shared" si="180"/>
        <v>9715155</v>
      </c>
      <c r="L413" s="193">
        <f t="shared" si="180"/>
        <v>3000000</v>
      </c>
      <c r="M413" s="193">
        <f t="shared" si="180"/>
        <v>3000000</v>
      </c>
      <c r="N413" s="193">
        <f t="shared" si="180"/>
        <v>0</v>
      </c>
      <c r="O413" s="193">
        <f t="shared" si="180"/>
        <v>0</v>
      </c>
      <c r="P413" s="193">
        <f t="shared" si="180"/>
        <v>0</v>
      </c>
      <c r="Q413" s="193">
        <f t="shared" si="180"/>
        <v>0</v>
      </c>
      <c r="R413" s="193">
        <f t="shared" si="180"/>
        <v>0</v>
      </c>
      <c r="S413" s="193">
        <f t="shared" si="180"/>
        <v>0</v>
      </c>
      <c r="T413" s="193">
        <f t="shared" si="180"/>
        <v>0</v>
      </c>
      <c r="U413" s="193">
        <f t="shared" si="180"/>
        <v>0</v>
      </c>
      <c r="V413" s="193">
        <f t="shared" si="180"/>
        <v>0</v>
      </c>
    </row>
    <row r="414" spans="1:22" hidden="1">
      <c r="A414" s="212"/>
      <c r="B414" s="215"/>
      <c r="C414" s="213"/>
      <c r="D414" s="212"/>
      <c r="E414" s="212"/>
      <c r="F414" s="212"/>
      <c r="G414" s="212"/>
      <c r="H414" s="214"/>
      <c r="I414" s="214"/>
      <c r="J414" s="214"/>
      <c r="K414" s="214"/>
      <c r="L414" s="214"/>
      <c r="M414" s="214"/>
      <c r="N414" s="214"/>
      <c r="O414" s="214"/>
      <c r="P414" s="214"/>
      <c r="Q414" s="214"/>
      <c r="R414" s="214"/>
      <c r="S414" s="214"/>
      <c r="T414" s="214"/>
      <c r="U414" s="214"/>
      <c r="V414" s="214"/>
    </row>
    <row r="415" spans="1:22">
      <c r="A415" s="212"/>
      <c r="B415" s="213"/>
      <c r="C415" s="213"/>
      <c r="D415" s="212"/>
      <c r="E415" s="212"/>
      <c r="F415" s="212"/>
      <c r="G415" s="212"/>
      <c r="H415" s="214"/>
      <c r="I415" s="214"/>
      <c r="J415" s="214"/>
      <c r="K415" s="214"/>
      <c r="L415" s="214"/>
      <c r="M415" s="214"/>
      <c r="N415" s="214"/>
      <c r="O415" s="214"/>
      <c r="P415" s="214"/>
      <c r="Q415" s="214"/>
      <c r="R415" s="214"/>
      <c r="S415" s="214"/>
      <c r="T415" s="214"/>
      <c r="U415" s="214"/>
      <c r="V415" s="214"/>
    </row>
    <row r="416" spans="1:22">
      <c r="A416" s="212"/>
      <c r="B416" s="213"/>
      <c r="C416" s="213"/>
      <c r="D416" s="212"/>
      <c r="E416" s="212"/>
      <c r="F416" s="212"/>
      <c r="G416" s="212"/>
      <c r="H416" s="214"/>
      <c r="I416" s="214"/>
      <c r="J416" s="214"/>
      <c r="K416" s="214"/>
      <c r="L416" s="214"/>
      <c r="M416" s="214"/>
      <c r="N416" s="214"/>
      <c r="O416" s="214"/>
      <c r="P416" s="214"/>
      <c r="Q416" s="214"/>
      <c r="R416" s="214"/>
      <c r="S416" s="214"/>
      <c r="T416" s="214"/>
      <c r="U416" s="214"/>
      <c r="V416" s="214"/>
    </row>
    <row r="417" spans="1:22">
      <c r="A417" s="212"/>
      <c r="B417" s="213"/>
      <c r="C417" s="213"/>
      <c r="D417" s="212"/>
      <c r="E417" s="212"/>
      <c r="F417" s="212"/>
      <c r="G417" s="212"/>
      <c r="H417" s="214"/>
      <c r="I417" s="214"/>
      <c r="J417" s="214"/>
      <c r="K417" s="214"/>
      <c r="L417" s="214"/>
      <c r="M417" s="214"/>
      <c r="N417" s="214"/>
      <c r="O417" s="214"/>
      <c r="P417" s="214"/>
      <c r="Q417" s="214"/>
      <c r="R417" s="214"/>
      <c r="S417" s="214"/>
      <c r="T417" s="214"/>
      <c r="U417" s="214"/>
      <c r="V417" s="214"/>
    </row>
    <row r="418" spans="1:22">
      <c r="A418" s="212"/>
      <c r="B418" s="213"/>
      <c r="C418" s="213"/>
      <c r="D418" s="212"/>
      <c r="E418" s="212"/>
      <c r="F418" s="212"/>
      <c r="G418" s="212"/>
      <c r="H418" s="214"/>
      <c r="I418" s="214"/>
      <c r="J418" s="214"/>
      <c r="K418" s="214"/>
      <c r="L418" s="214"/>
      <c r="M418" s="214"/>
      <c r="N418" s="214"/>
      <c r="O418" s="214"/>
      <c r="P418" s="214"/>
      <c r="Q418" s="214"/>
      <c r="R418" s="214"/>
      <c r="S418" s="214"/>
      <c r="T418" s="214"/>
      <c r="U418" s="214"/>
      <c r="V418" s="214"/>
    </row>
    <row r="419" spans="1:22">
      <c r="A419" s="212"/>
      <c r="B419" s="213"/>
      <c r="C419" s="213"/>
      <c r="D419" s="212"/>
      <c r="E419" s="212"/>
      <c r="F419" s="212"/>
      <c r="G419" s="212"/>
      <c r="H419" s="214"/>
      <c r="I419" s="214"/>
      <c r="J419" s="214"/>
      <c r="K419" s="214"/>
      <c r="L419" s="214"/>
      <c r="M419" s="214"/>
      <c r="N419" s="214"/>
      <c r="O419" s="214"/>
      <c r="P419" s="214"/>
      <c r="Q419" s="214"/>
      <c r="R419" s="214"/>
      <c r="S419" s="214"/>
      <c r="T419" s="214"/>
      <c r="U419" s="214"/>
      <c r="V419" s="214"/>
    </row>
    <row r="420" spans="1:22">
      <c r="A420" s="212"/>
      <c r="B420" s="213"/>
      <c r="C420" s="213"/>
      <c r="D420" s="212"/>
      <c r="E420" s="212"/>
      <c r="F420" s="212"/>
      <c r="G420" s="212"/>
      <c r="H420" s="214"/>
      <c r="I420" s="214"/>
      <c r="J420" s="214"/>
      <c r="K420" s="214"/>
      <c r="L420" s="214"/>
      <c r="M420" s="214"/>
      <c r="N420" s="214"/>
      <c r="O420" s="214"/>
      <c r="P420" s="214"/>
      <c r="Q420" s="214"/>
      <c r="R420" s="214"/>
      <c r="S420" s="214"/>
      <c r="T420" s="214"/>
      <c r="U420" s="214"/>
      <c r="V420" s="214"/>
    </row>
    <row r="421" spans="1:22">
      <c r="A421" s="212"/>
      <c r="B421" s="213"/>
      <c r="C421" s="213"/>
      <c r="D421" s="212"/>
      <c r="E421" s="212"/>
      <c r="F421" s="212"/>
      <c r="G421" s="212"/>
      <c r="H421" s="214"/>
      <c r="I421" s="214"/>
      <c r="J421" s="214"/>
      <c r="K421" s="214"/>
      <c r="L421" s="214"/>
      <c r="M421" s="214"/>
      <c r="N421" s="214"/>
      <c r="O421" s="214"/>
      <c r="P421" s="214"/>
      <c r="Q421" s="214"/>
      <c r="R421" s="214"/>
      <c r="S421" s="214"/>
      <c r="T421" s="214"/>
      <c r="U421" s="214"/>
      <c r="V421" s="214"/>
    </row>
    <row r="422" spans="1:22">
      <c r="A422" s="212"/>
      <c r="B422" s="213"/>
      <c r="C422" s="213"/>
      <c r="D422" s="212"/>
      <c r="E422" s="212"/>
      <c r="F422" s="212"/>
      <c r="G422" s="212"/>
      <c r="H422" s="214"/>
      <c r="I422" s="214"/>
      <c r="J422" s="214"/>
      <c r="K422" s="214"/>
      <c r="L422" s="214"/>
      <c r="M422" s="214"/>
      <c r="N422" s="214"/>
      <c r="O422" s="214"/>
      <c r="P422" s="214"/>
      <c r="Q422" s="214"/>
      <c r="R422" s="214"/>
      <c r="S422" s="214"/>
      <c r="T422" s="214"/>
      <c r="U422" s="214"/>
      <c r="V422" s="214"/>
    </row>
    <row r="423" spans="1:22">
      <c r="A423" s="212"/>
      <c r="B423" s="213"/>
      <c r="C423" s="213"/>
      <c r="D423" s="212"/>
      <c r="E423" s="212"/>
      <c r="F423" s="212"/>
      <c r="G423" s="212"/>
      <c r="H423" s="214"/>
      <c r="I423" s="214"/>
      <c r="J423" s="214"/>
      <c r="K423" s="214"/>
      <c r="L423" s="214"/>
      <c r="M423" s="214"/>
      <c r="N423" s="214"/>
      <c r="O423" s="214"/>
      <c r="P423" s="214"/>
      <c r="Q423" s="214"/>
      <c r="R423" s="214"/>
      <c r="S423" s="214"/>
      <c r="T423" s="214"/>
      <c r="U423" s="214"/>
      <c r="V423" s="214"/>
    </row>
    <row r="424" spans="1:22">
      <c r="A424" s="212"/>
      <c r="B424" s="213"/>
      <c r="C424" s="213"/>
      <c r="D424" s="212"/>
      <c r="E424" s="212"/>
      <c r="F424" s="212"/>
      <c r="G424" s="212"/>
      <c r="H424" s="214"/>
      <c r="I424" s="214"/>
      <c r="J424" s="214"/>
      <c r="K424" s="214"/>
      <c r="L424" s="214"/>
      <c r="M424" s="214"/>
      <c r="N424" s="214"/>
      <c r="O424" s="214"/>
      <c r="P424" s="214"/>
      <c r="Q424" s="214"/>
      <c r="R424" s="214"/>
      <c r="S424" s="214"/>
      <c r="T424" s="214"/>
      <c r="U424" s="214"/>
      <c r="V424" s="214"/>
    </row>
    <row r="425" spans="1:22">
      <c r="C425" s="213"/>
      <c r="D425" s="212"/>
      <c r="E425" s="212"/>
      <c r="F425" s="212"/>
      <c r="G425" s="212"/>
      <c r="H425" s="214"/>
      <c r="I425" s="214"/>
      <c r="J425" s="214"/>
      <c r="K425" s="214"/>
      <c r="L425" s="214"/>
      <c r="M425" s="214"/>
      <c r="N425" s="214"/>
      <c r="O425" s="214"/>
      <c r="P425" s="214"/>
      <c r="Q425" s="214"/>
      <c r="R425" s="214"/>
      <c r="S425" s="214"/>
      <c r="T425" s="214"/>
      <c r="U425" s="214"/>
      <c r="V425" s="214"/>
    </row>
    <row r="426" spans="1:22">
      <c r="A426" s="212"/>
      <c r="B426" s="213"/>
      <c r="C426" s="213"/>
      <c r="D426" s="212"/>
      <c r="E426" s="212"/>
      <c r="F426" s="212"/>
      <c r="G426" s="212"/>
      <c r="H426" s="214"/>
      <c r="I426" s="214"/>
      <c r="J426" s="214"/>
      <c r="K426" s="214"/>
      <c r="L426" s="214"/>
      <c r="M426" s="214"/>
      <c r="N426" s="214"/>
      <c r="O426" s="214"/>
      <c r="P426" s="214"/>
      <c r="Q426" s="214"/>
      <c r="R426" s="214"/>
      <c r="S426" s="214"/>
      <c r="T426" s="214"/>
      <c r="U426" s="214"/>
      <c r="V426" s="214"/>
    </row>
    <row r="427" spans="1:22">
      <c r="A427" s="212"/>
      <c r="B427" s="213"/>
      <c r="C427" s="213"/>
      <c r="D427" s="212"/>
      <c r="E427" s="212"/>
      <c r="F427" s="212"/>
      <c r="G427" s="212"/>
      <c r="H427" s="214"/>
      <c r="I427" s="214"/>
      <c r="J427" s="214"/>
      <c r="K427" s="214"/>
      <c r="L427" s="214"/>
      <c r="M427" s="214"/>
      <c r="N427" s="214"/>
      <c r="O427" s="214"/>
      <c r="P427" s="214"/>
      <c r="Q427" s="214"/>
      <c r="R427" s="214"/>
      <c r="S427" s="214"/>
      <c r="T427" s="214"/>
      <c r="U427" s="214"/>
      <c r="V427" s="214"/>
    </row>
    <row r="428" spans="1:22">
      <c r="A428" s="212"/>
      <c r="B428" s="213"/>
      <c r="C428" s="213"/>
      <c r="D428" s="212"/>
      <c r="E428" s="212"/>
      <c r="F428" s="212"/>
      <c r="G428" s="212"/>
      <c r="H428" s="214"/>
      <c r="I428" s="214"/>
      <c r="J428" s="214"/>
      <c r="K428" s="214"/>
      <c r="L428" s="214"/>
      <c r="M428" s="214"/>
      <c r="N428" s="214"/>
      <c r="O428" s="214"/>
      <c r="P428" s="214"/>
      <c r="Q428" s="214"/>
      <c r="R428" s="214"/>
      <c r="S428" s="214"/>
      <c r="T428" s="214"/>
      <c r="U428" s="214"/>
      <c r="V428" s="214"/>
    </row>
    <row r="429" spans="1:22">
      <c r="A429" s="212"/>
      <c r="B429" s="213"/>
      <c r="C429" s="213"/>
      <c r="D429" s="212"/>
      <c r="E429" s="212"/>
      <c r="F429" s="212"/>
      <c r="G429" s="212"/>
      <c r="H429" s="214"/>
      <c r="I429" s="214"/>
      <c r="J429" s="214"/>
      <c r="K429" s="214"/>
      <c r="L429" s="214"/>
      <c r="M429" s="214"/>
      <c r="N429" s="214"/>
      <c r="O429" s="214"/>
      <c r="P429" s="214"/>
      <c r="Q429" s="214"/>
      <c r="R429" s="214"/>
      <c r="S429" s="214"/>
      <c r="T429" s="214"/>
      <c r="U429" s="214"/>
      <c r="V429" s="214"/>
    </row>
    <row r="430" spans="1:22">
      <c r="A430" s="212"/>
      <c r="B430" s="215"/>
      <c r="C430" s="213"/>
      <c r="D430" s="212"/>
      <c r="E430" s="212"/>
      <c r="F430" s="212"/>
      <c r="G430" s="212"/>
      <c r="H430" s="214"/>
      <c r="I430" s="214"/>
      <c r="J430" s="214"/>
      <c r="K430" s="214"/>
      <c r="L430" s="214"/>
      <c r="M430" s="214"/>
      <c r="N430" s="214"/>
      <c r="O430" s="214"/>
      <c r="P430" s="214"/>
      <c r="Q430" s="214"/>
      <c r="R430" s="214"/>
      <c r="S430" s="214"/>
      <c r="T430" s="214"/>
      <c r="U430" s="214"/>
      <c r="V430" s="214"/>
    </row>
    <row r="431" spans="1:22">
      <c r="A431" s="212"/>
      <c r="B431" s="213"/>
      <c r="C431" s="213"/>
      <c r="D431" s="212"/>
      <c r="E431" s="212"/>
      <c r="F431" s="212"/>
      <c r="G431" s="212"/>
      <c r="H431" s="214"/>
      <c r="I431" s="214"/>
      <c r="J431" s="214"/>
      <c r="K431" s="214"/>
      <c r="L431" s="214"/>
      <c r="M431" s="214"/>
      <c r="N431" s="214"/>
      <c r="O431" s="214"/>
      <c r="P431" s="214"/>
      <c r="Q431" s="214"/>
      <c r="R431" s="214"/>
      <c r="S431" s="214"/>
      <c r="T431" s="214"/>
      <c r="U431" s="214"/>
      <c r="V431" s="214"/>
    </row>
    <row r="432" spans="1:22">
      <c r="A432" s="212"/>
      <c r="B432" s="213"/>
      <c r="C432" s="213"/>
      <c r="D432" s="212"/>
      <c r="E432" s="212"/>
      <c r="F432" s="212"/>
      <c r="G432" s="212"/>
      <c r="H432" s="214"/>
      <c r="I432" s="214"/>
      <c r="J432" s="214"/>
      <c r="K432" s="214"/>
      <c r="L432" s="214"/>
      <c r="M432" s="214"/>
      <c r="N432" s="214"/>
      <c r="O432" s="214"/>
      <c r="P432" s="214"/>
      <c r="Q432" s="214"/>
      <c r="R432" s="214"/>
      <c r="S432" s="214"/>
      <c r="T432" s="214"/>
      <c r="U432" s="214"/>
      <c r="V432" s="214"/>
    </row>
    <row r="433" spans="1:22">
      <c r="A433" s="212"/>
      <c r="B433" s="213"/>
      <c r="C433" s="213"/>
      <c r="D433" s="212"/>
      <c r="E433" s="212"/>
      <c r="F433" s="212"/>
      <c r="G433" s="212"/>
      <c r="H433" s="214"/>
      <c r="I433" s="214"/>
      <c r="J433" s="214"/>
      <c r="K433" s="214"/>
      <c r="L433" s="214"/>
      <c r="M433" s="214"/>
      <c r="N433" s="214"/>
      <c r="O433" s="214"/>
      <c r="P433" s="214"/>
      <c r="Q433" s="214"/>
      <c r="R433" s="214"/>
      <c r="S433" s="214"/>
      <c r="T433" s="214"/>
      <c r="U433" s="214"/>
      <c r="V433" s="214"/>
    </row>
    <row r="434" spans="1:22">
      <c r="A434" s="212"/>
      <c r="B434" s="213"/>
      <c r="C434" s="213"/>
      <c r="D434" s="212"/>
      <c r="E434" s="212"/>
      <c r="F434" s="212"/>
      <c r="G434" s="212"/>
      <c r="H434" s="214"/>
      <c r="I434" s="214"/>
      <c r="J434" s="214"/>
      <c r="K434" s="214"/>
      <c r="L434" s="214"/>
      <c r="M434" s="214"/>
      <c r="N434" s="214"/>
      <c r="O434" s="214"/>
      <c r="P434" s="214"/>
      <c r="Q434" s="214"/>
      <c r="R434" s="214"/>
      <c r="S434" s="214"/>
      <c r="T434" s="214"/>
      <c r="U434" s="214"/>
      <c r="V434" s="214"/>
    </row>
    <row r="435" spans="1:22">
      <c r="A435" s="212"/>
      <c r="B435" s="213"/>
      <c r="C435" s="213"/>
      <c r="D435" s="212"/>
      <c r="E435" s="212"/>
      <c r="F435" s="212"/>
      <c r="G435" s="212"/>
      <c r="H435" s="214"/>
      <c r="I435" s="214"/>
      <c r="J435" s="214"/>
      <c r="K435" s="214"/>
      <c r="L435" s="214"/>
      <c r="M435" s="214"/>
      <c r="N435" s="214"/>
      <c r="O435" s="214"/>
      <c r="P435" s="214"/>
      <c r="Q435" s="214"/>
      <c r="R435" s="214"/>
      <c r="S435" s="214"/>
      <c r="T435" s="214"/>
      <c r="U435" s="214"/>
      <c r="V435" s="214"/>
    </row>
    <row r="436" spans="1:22">
      <c r="A436" s="212"/>
      <c r="B436" s="213"/>
      <c r="C436" s="213"/>
      <c r="D436" s="212"/>
      <c r="E436" s="212"/>
      <c r="F436" s="212"/>
      <c r="G436" s="212"/>
      <c r="H436" s="214"/>
      <c r="I436" s="214"/>
      <c r="J436" s="214"/>
      <c r="K436" s="214"/>
      <c r="L436" s="214"/>
      <c r="M436" s="214"/>
      <c r="N436" s="214"/>
      <c r="O436" s="214"/>
      <c r="P436" s="214"/>
      <c r="Q436" s="214"/>
      <c r="R436" s="214"/>
      <c r="S436" s="214"/>
      <c r="T436" s="214"/>
      <c r="U436" s="214"/>
      <c r="V436" s="214"/>
    </row>
    <row r="437" spans="1:22">
      <c r="A437" s="212"/>
      <c r="B437" s="213"/>
      <c r="C437" s="213"/>
      <c r="D437" s="212"/>
      <c r="E437" s="212"/>
      <c r="F437" s="212"/>
      <c r="G437" s="212"/>
      <c r="H437" s="214"/>
      <c r="I437" s="214"/>
      <c r="J437" s="214"/>
      <c r="K437" s="214"/>
      <c r="L437" s="214"/>
      <c r="M437" s="214"/>
      <c r="N437" s="214"/>
      <c r="O437" s="214"/>
      <c r="P437" s="214"/>
      <c r="Q437" s="214"/>
      <c r="R437" s="214"/>
      <c r="S437" s="214"/>
      <c r="T437" s="214"/>
      <c r="U437" s="214"/>
      <c r="V437" s="214"/>
    </row>
    <row r="438" spans="1:22">
      <c r="A438" s="212"/>
      <c r="B438" s="213"/>
      <c r="C438" s="213"/>
      <c r="D438" s="212"/>
      <c r="E438" s="212"/>
      <c r="F438" s="212"/>
      <c r="G438" s="212"/>
      <c r="H438" s="214"/>
      <c r="I438" s="214"/>
      <c r="J438" s="214"/>
      <c r="K438" s="214"/>
      <c r="L438" s="214"/>
      <c r="M438" s="214"/>
      <c r="N438" s="214"/>
      <c r="O438" s="214"/>
      <c r="P438" s="214"/>
      <c r="Q438" s="214"/>
      <c r="R438" s="214"/>
      <c r="S438" s="214"/>
      <c r="T438" s="214"/>
      <c r="U438" s="214"/>
      <c r="V438" s="214"/>
    </row>
    <row r="439" spans="1:22">
      <c r="A439" s="212"/>
      <c r="B439" s="213"/>
      <c r="C439" s="213"/>
      <c r="D439" s="212"/>
      <c r="E439" s="212"/>
      <c r="F439" s="212"/>
      <c r="G439" s="212"/>
      <c r="H439" s="214"/>
      <c r="I439" s="214"/>
      <c r="J439" s="214"/>
      <c r="K439" s="214"/>
      <c r="L439" s="214"/>
      <c r="M439" s="214"/>
      <c r="N439" s="214"/>
      <c r="O439" s="214"/>
      <c r="P439" s="214"/>
      <c r="Q439" s="214"/>
      <c r="R439" s="214"/>
      <c r="S439" s="214"/>
      <c r="T439" s="214"/>
      <c r="U439" s="214"/>
      <c r="V439" s="214"/>
    </row>
    <row r="440" spans="1:22">
      <c r="A440" s="212"/>
      <c r="B440" s="213"/>
      <c r="C440" s="213"/>
      <c r="D440" s="212"/>
      <c r="E440" s="212"/>
      <c r="F440" s="212"/>
      <c r="G440" s="212"/>
      <c r="H440" s="214"/>
      <c r="I440" s="214"/>
      <c r="J440" s="214"/>
      <c r="K440" s="214"/>
      <c r="L440" s="214"/>
      <c r="M440" s="214"/>
      <c r="N440" s="214"/>
      <c r="O440" s="214"/>
      <c r="P440" s="214"/>
      <c r="Q440" s="214"/>
      <c r="R440" s="214"/>
      <c r="S440" s="214"/>
      <c r="T440" s="214"/>
      <c r="U440" s="214"/>
      <c r="V440" s="214"/>
    </row>
    <row r="441" spans="1:22">
      <c r="A441" s="212"/>
      <c r="B441" s="213"/>
      <c r="C441" s="213"/>
      <c r="D441" s="212"/>
      <c r="E441" s="212"/>
      <c r="F441" s="212"/>
      <c r="G441" s="212"/>
      <c r="H441" s="214"/>
      <c r="I441" s="214"/>
      <c r="J441" s="214"/>
      <c r="K441" s="214"/>
      <c r="L441" s="214"/>
      <c r="M441" s="214"/>
      <c r="N441" s="214"/>
      <c r="O441" s="214"/>
      <c r="P441" s="214"/>
      <c r="Q441" s="214"/>
      <c r="R441" s="214"/>
      <c r="S441" s="214"/>
      <c r="T441" s="214"/>
      <c r="U441" s="214"/>
      <c r="V441" s="214"/>
    </row>
    <row r="442" spans="1:22">
      <c r="A442" s="212"/>
      <c r="B442" s="213"/>
      <c r="C442" s="213"/>
      <c r="D442" s="212"/>
      <c r="E442" s="212"/>
      <c r="F442" s="212"/>
      <c r="G442" s="212"/>
      <c r="H442" s="214"/>
      <c r="I442" s="214"/>
      <c r="J442" s="214"/>
      <c r="K442" s="214"/>
      <c r="L442" s="214"/>
      <c r="M442" s="214"/>
      <c r="N442" s="214"/>
      <c r="O442" s="214"/>
      <c r="P442" s="214"/>
      <c r="Q442" s="214"/>
      <c r="R442" s="214"/>
      <c r="S442" s="214"/>
      <c r="T442" s="214"/>
      <c r="U442" s="214"/>
      <c r="V442" s="214"/>
    </row>
    <row r="443" spans="1:22">
      <c r="A443" s="212"/>
      <c r="B443" s="213"/>
      <c r="C443" s="213"/>
      <c r="D443" s="212"/>
      <c r="E443" s="212"/>
      <c r="F443" s="212"/>
      <c r="G443" s="212"/>
      <c r="H443" s="214"/>
      <c r="I443" s="214"/>
      <c r="J443" s="214"/>
      <c r="K443" s="214"/>
      <c r="L443" s="214"/>
      <c r="M443" s="214"/>
      <c r="N443" s="214"/>
      <c r="O443" s="214"/>
      <c r="P443" s="214"/>
      <c r="Q443" s="214"/>
      <c r="R443" s="214"/>
      <c r="S443" s="214"/>
      <c r="T443" s="214"/>
      <c r="U443" s="214"/>
      <c r="V443" s="214"/>
    </row>
    <row r="444" spans="1:22">
      <c r="A444" s="212"/>
      <c r="B444" s="213"/>
      <c r="C444" s="213"/>
      <c r="D444" s="212"/>
      <c r="E444" s="212"/>
      <c r="F444" s="212"/>
      <c r="G444" s="212"/>
      <c r="H444" s="214"/>
      <c r="I444" s="214"/>
      <c r="J444" s="214"/>
      <c r="K444" s="214"/>
      <c r="L444" s="214"/>
      <c r="M444" s="214"/>
      <c r="N444" s="214"/>
      <c r="O444" s="214"/>
      <c r="P444" s="214"/>
      <c r="Q444" s="214"/>
      <c r="R444" s="214"/>
      <c r="S444" s="214"/>
      <c r="T444" s="214"/>
      <c r="U444" s="214"/>
      <c r="V444" s="214"/>
    </row>
    <row r="445" spans="1:22">
      <c r="A445" s="212"/>
      <c r="B445" s="213"/>
      <c r="C445" s="213"/>
      <c r="D445" s="212"/>
      <c r="E445" s="212"/>
      <c r="F445" s="212"/>
      <c r="G445" s="212"/>
      <c r="H445" s="214"/>
      <c r="I445" s="214"/>
      <c r="J445" s="214"/>
      <c r="K445" s="214"/>
      <c r="L445" s="214"/>
      <c r="M445" s="214"/>
      <c r="N445" s="214"/>
      <c r="O445" s="214"/>
      <c r="P445" s="214"/>
      <c r="Q445" s="214"/>
      <c r="R445" s="214"/>
      <c r="S445" s="214"/>
      <c r="T445" s="214"/>
      <c r="U445" s="214"/>
      <c r="V445" s="214"/>
    </row>
    <row r="446" spans="1:22">
      <c r="A446" s="212"/>
      <c r="B446" s="213"/>
      <c r="C446" s="213"/>
      <c r="D446" s="212"/>
      <c r="E446" s="212"/>
      <c r="F446" s="212"/>
      <c r="G446" s="212"/>
      <c r="H446" s="214"/>
      <c r="I446" s="214"/>
      <c r="J446" s="214"/>
      <c r="K446" s="214"/>
      <c r="L446" s="214"/>
      <c r="M446" s="214"/>
      <c r="N446" s="214"/>
      <c r="O446" s="214"/>
      <c r="P446" s="214"/>
      <c r="Q446" s="214"/>
      <c r="R446" s="214"/>
      <c r="S446" s="214"/>
      <c r="T446" s="214"/>
      <c r="U446" s="214"/>
      <c r="V446" s="214"/>
    </row>
    <row r="447" spans="1:22">
      <c r="A447" s="212"/>
      <c r="B447" s="213"/>
      <c r="C447" s="213"/>
      <c r="D447" s="212"/>
      <c r="E447" s="212"/>
      <c r="F447" s="212"/>
      <c r="G447" s="212"/>
      <c r="H447" s="214"/>
      <c r="I447" s="214"/>
      <c r="J447" s="214"/>
      <c r="K447" s="214"/>
      <c r="L447" s="214"/>
      <c r="M447" s="214"/>
      <c r="N447" s="214"/>
      <c r="O447" s="214"/>
      <c r="P447" s="214"/>
      <c r="Q447" s="214"/>
      <c r="R447" s="214"/>
      <c r="S447" s="214"/>
      <c r="T447" s="214"/>
      <c r="U447" s="214"/>
      <c r="V447" s="214"/>
    </row>
    <row r="448" spans="1:22">
      <c r="H448" s="207"/>
    </row>
    <row r="449" spans="8:8">
      <c r="H449" s="207"/>
    </row>
    <row r="450" spans="8:8">
      <c r="H450" s="207"/>
    </row>
    <row r="451" spans="8:8">
      <c r="H451" s="207"/>
    </row>
    <row r="452" spans="8:8">
      <c r="H452" s="207"/>
    </row>
    <row r="453" spans="8:8">
      <c r="H453" s="207"/>
    </row>
  </sheetData>
  <mergeCells count="548">
    <mergeCell ref="B410:C410"/>
    <mergeCell ref="B411:C411"/>
    <mergeCell ref="B412:C412"/>
    <mergeCell ref="B413:C413"/>
    <mergeCell ref="B405:C405"/>
    <mergeCell ref="B406:C406"/>
    <mergeCell ref="B407:C407"/>
    <mergeCell ref="B408:C408"/>
    <mergeCell ref="A409:C409"/>
    <mergeCell ref="E409:F409"/>
    <mergeCell ref="B400:C400"/>
    <mergeCell ref="B401:C401"/>
    <mergeCell ref="B402:C402"/>
    <mergeCell ref="B403:C403"/>
    <mergeCell ref="A404:C404"/>
    <mergeCell ref="E404:F404"/>
    <mergeCell ref="B393:C393"/>
    <mergeCell ref="B394:C394"/>
    <mergeCell ref="B395:C395"/>
    <mergeCell ref="B396:C396"/>
    <mergeCell ref="A399:C399"/>
    <mergeCell ref="E399:F399"/>
    <mergeCell ref="B388:C388"/>
    <mergeCell ref="B389:C389"/>
    <mergeCell ref="B390:C390"/>
    <mergeCell ref="B391:C391"/>
    <mergeCell ref="A392:C392"/>
    <mergeCell ref="E392:F392"/>
    <mergeCell ref="B383:C383"/>
    <mergeCell ref="B384:C384"/>
    <mergeCell ref="B385:C385"/>
    <mergeCell ref="B386:C386"/>
    <mergeCell ref="A387:C387"/>
    <mergeCell ref="E387:F387"/>
    <mergeCell ref="B363:C363"/>
    <mergeCell ref="B364:C364"/>
    <mergeCell ref="B365:C365"/>
    <mergeCell ref="B366:C366"/>
    <mergeCell ref="A382:C382"/>
    <mergeCell ref="E382:F382"/>
    <mergeCell ref="B358:C358"/>
    <mergeCell ref="B359:C359"/>
    <mergeCell ref="B360:C360"/>
    <mergeCell ref="B361:C361"/>
    <mergeCell ref="A362:C362"/>
    <mergeCell ref="E362:F362"/>
    <mergeCell ref="B353:C353"/>
    <mergeCell ref="B354:C354"/>
    <mergeCell ref="B355:C355"/>
    <mergeCell ref="B356:C356"/>
    <mergeCell ref="A357:C357"/>
    <mergeCell ref="E357:F357"/>
    <mergeCell ref="D348:D350"/>
    <mergeCell ref="E348:F350"/>
    <mergeCell ref="G348:G350"/>
    <mergeCell ref="A349:C349"/>
    <mergeCell ref="B350:C350"/>
    <mergeCell ref="A352:C352"/>
    <mergeCell ref="E352:F352"/>
    <mergeCell ref="D342:D344"/>
    <mergeCell ref="E342:F344"/>
    <mergeCell ref="G342:G344"/>
    <mergeCell ref="A343:C343"/>
    <mergeCell ref="B344:C344"/>
    <mergeCell ref="D345:D347"/>
    <mergeCell ref="E345:F347"/>
    <mergeCell ref="G345:G347"/>
    <mergeCell ref="A346:C346"/>
    <mergeCell ref="B347:C347"/>
    <mergeCell ref="D336:D338"/>
    <mergeCell ref="E336:F338"/>
    <mergeCell ref="G336:G338"/>
    <mergeCell ref="A337:C337"/>
    <mergeCell ref="B338:C338"/>
    <mergeCell ref="D339:D341"/>
    <mergeCell ref="E339:F341"/>
    <mergeCell ref="G339:G341"/>
    <mergeCell ref="A340:C340"/>
    <mergeCell ref="B341:C341"/>
    <mergeCell ref="E330:F330"/>
    <mergeCell ref="A331:G331"/>
    <mergeCell ref="A332:C332"/>
    <mergeCell ref="E332:F332"/>
    <mergeCell ref="D333:D335"/>
    <mergeCell ref="E333:F335"/>
    <mergeCell ref="G333:G335"/>
    <mergeCell ref="A334:C334"/>
    <mergeCell ref="B335:C335"/>
    <mergeCell ref="D326:D329"/>
    <mergeCell ref="E326:F329"/>
    <mergeCell ref="G326:G329"/>
    <mergeCell ref="A327:C327"/>
    <mergeCell ref="B328:C328"/>
    <mergeCell ref="A329:C329"/>
    <mergeCell ref="D322:D325"/>
    <mergeCell ref="E322:F325"/>
    <mergeCell ref="G322:G325"/>
    <mergeCell ref="A323:C323"/>
    <mergeCell ref="B324:C324"/>
    <mergeCell ref="A325:C325"/>
    <mergeCell ref="D318:D321"/>
    <mergeCell ref="E318:F321"/>
    <mergeCell ref="G318:G321"/>
    <mergeCell ref="A319:C319"/>
    <mergeCell ref="B320:C320"/>
    <mergeCell ref="A321:C321"/>
    <mergeCell ref="D314:D317"/>
    <mergeCell ref="E314:F317"/>
    <mergeCell ref="G314:G317"/>
    <mergeCell ref="A315:C315"/>
    <mergeCell ref="B316:C316"/>
    <mergeCell ref="A317:C317"/>
    <mergeCell ref="D310:D313"/>
    <mergeCell ref="E310:F313"/>
    <mergeCell ref="G310:G313"/>
    <mergeCell ref="A311:C311"/>
    <mergeCell ref="B312:C312"/>
    <mergeCell ref="A313:C313"/>
    <mergeCell ref="D306:D309"/>
    <mergeCell ref="E306:F309"/>
    <mergeCell ref="G306:G309"/>
    <mergeCell ref="A307:C307"/>
    <mergeCell ref="B308:C308"/>
    <mergeCell ref="A309:C309"/>
    <mergeCell ref="D302:D305"/>
    <mergeCell ref="E302:F305"/>
    <mergeCell ref="G302:G305"/>
    <mergeCell ref="A303:C303"/>
    <mergeCell ref="B304:C304"/>
    <mergeCell ref="A305:C305"/>
    <mergeCell ref="D298:D301"/>
    <mergeCell ref="E298:F301"/>
    <mergeCell ref="G298:G301"/>
    <mergeCell ref="A299:C299"/>
    <mergeCell ref="B300:C300"/>
    <mergeCell ref="A301:C301"/>
    <mergeCell ref="D294:D297"/>
    <mergeCell ref="E294:F297"/>
    <mergeCell ref="G294:G297"/>
    <mergeCell ref="A295:C295"/>
    <mergeCell ref="B296:C296"/>
    <mergeCell ref="A297:C297"/>
    <mergeCell ref="D290:D293"/>
    <mergeCell ref="E290:F293"/>
    <mergeCell ref="G290:G293"/>
    <mergeCell ref="A291:C291"/>
    <mergeCell ref="B292:C292"/>
    <mergeCell ref="A293:C293"/>
    <mergeCell ref="D286:D289"/>
    <mergeCell ref="E286:F289"/>
    <mergeCell ref="G286:G289"/>
    <mergeCell ref="A287:C287"/>
    <mergeCell ref="B288:C288"/>
    <mergeCell ref="A289:C289"/>
    <mergeCell ref="D281:D285"/>
    <mergeCell ref="E281:F285"/>
    <mergeCell ref="G281:G285"/>
    <mergeCell ref="A282:C282"/>
    <mergeCell ref="B283:C283"/>
    <mergeCell ref="B284:C284"/>
    <mergeCell ref="A285:C285"/>
    <mergeCell ref="D277:D280"/>
    <mergeCell ref="E277:F280"/>
    <mergeCell ref="G277:G280"/>
    <mergeCell ref="A278:C278"/>
    <mergeCell ref="B279:C279"/>
    <mergeCell ref="A280:C280"/>
    <mergeCell ref="E273:F273"/>
    <mergeCell ref="A274:G274"/>
    <mergeCell ref="A275:C275"/>
    <mergeCell ref="E275:F275"/>
    <mergeCell ref="A276:C276"/>
    <mergeCell ref="E276:F276"/>
    <mergeCell ref="D269:D272"/>
    <mergeCell ref="E269:F272"/>
    <mergeCell ref="G269:G272"/>
    <mergeCell ref="A270:C270"/>
    <mergeCell ref="A271:C271"/>
    <mergeCell ref="B272:C272"/>
    <mergeCell ref="D264:D268"/>
    <mergeCell ref="E264:F268"/>
    <mergeCell ref="G264:G268"/>
    <mergeCell ref="A265:C265"/>
    <mergeCell ref="B266:C266"/>
    <mergeCell ref="B267:C267"/>
    <mergeCell ref="A268:C268"/>
    <mergeCell ref="D260:D263"/>
    <mergeCell ref="E260:F263"/>
    <mergeCell ref="G260:G263"/>
    <mergeCell ref="A261:C261"/>
    <mergeCell ref="B262:C262"/>
    <mergeCell ref="A263:C263"/>
    <mergeCell ref="D256:D259"/>
    <mergeCell ref="E256:F259"/>
    <mergeCell ref="G256:G259"/>
    <mergeCell ref="A257:C257"/>
    <mergeCell ref="B258:C258"/>
    <mergeCell ref="A259:C259"/>
    <mergeCell ref="D252:D255"/>
    <mergeCell ref="E252:F255"/>
    <mergeCell ref="G252:G255"/>
    <mergeCell ref="A253:C253"/>
    <mergeCell ref="B254:C254"/>
    <mergeCell ref="A255:C255"/>
    <mergeCell ref="D248:D251"/>
    <mergeCell ref="E248:F251"/>
    <mergeCell ref="G248:G251"/>
    <mergeCell ref="A249:C249"/>
    <mergeCell ref="B250:C250"/>
    <mergeCell ref="A251:C251"/>
    <mergeCell ref="D244:D247"/>
    <mergeCell ref="E244:F247"/>
    <mergeCell ref="G244:G247"/>
    <mergeCell ref="A245:C245"/>
    <mergeCell ref="B246:C246"/>
    <mergeCell ref="A247:C247"/>
    <mergeCell ref="D239:D243"/>
    <mergeCell ref="E239:F243"/>
    <mergeCell ref="G239:G243"/>
    <mergeCell ref="A240:C240"/>
    <mergeCell ref="B241:C241"/>
    <mergeCell ref="A242:C242"/>
    <mergeCell ref="B243:C243"/>
    <mergeCell ref="D235:D238"/>
    <mergeCell ref="E235:F238"/>
    <mergeCell ref="G235:G238"/>
    <mergeCell ref="A236:C236"/>
    <mergeCell ref="B237:C237"/>
    <mergeCell ref="A238:C238"/>
    <mergeCell ref="D231:D234"/>
    <mergeCell ref="E231:F234"/>
    <mergeCell ref="G231:G234"/>
    <mergeCell ref="A232:C232"/>
    <mergeCell ref="A233:C233"/>
    <mergeCell ref="B234:C234"/>
    <mergeCell ref="D227:D230"/>
    <mergeCell ref="E227:F230"/>
    <mergeCell ref="G227:G230"/>
    <mergeCell ref="A228:C228"/>
    <mergeCell ref="B229:C229"/>
    <mergeCell ref="A230:C230"/>
    <mergeCell ref="D222:D226"/>
    <mergeCell ref="E222:F226"/>
    <mergeCell ref="G222:G226"/>
    <mergeCell ref="A223:C223"/>
    <mergeCell ref="A224:C224"/>
    <mergeCell ref="B225:C225"/>
    <mergeCell ref="B226:C226"/>
    <mergeCell ref="D217:D221"/>
    <mergeCell ref="E217:F221"/>
    <mergeCell ref="G217:G221"/>
    <mergeCell ref="A218:C218"/>
    <mergeCell ref="B219:C219"/>
    <mergeCell ref="B220:C220"/>
    <mergeCell ref="A221:C221"/>
    <mergeCell ref="D212:D216"/>
    <mergeCell ref="E212:F216"/>
    <mergeCell ref="G212:G216"/>
    <mergeCell ref="A213:C213"/>
    <mergeCell ref="B214:C214"/>
    <mergeCell ref="B215:C215"/>
    <mergeCell ref="A216:C216"/>
    <mergeCell ref="D206:D211"/>
    <mergeCell ref="E206:F211"/>
    <mergeCell ref="G206:G211"/>
    <mergeCell ref="A207:C207"/>
    <mergeCell ref="A208:C208"/>
    <mergeCell ref="B209:C209"/>
    <mergeCell ref="B210:C210"/>
    <mergeCell ref="B211:C211"/>
    <mergeCell ref="D201:D205"/>
    <mergeCell ref="E201:F205"/>
    <mergeCell ref="G201:G205"/>
    <mergeCell ref="A202:C202"/>
    <mergeCell ref="B203:C203"/>
    <mergeCell ref="A204:C204"/>
    <mergeCell ref="B205:C205"/>
    <mergeCell ref="D196:D200"/>
    <mergeCell ref="E196:F200"/>
    <mergeCell ref="G196:G200"/>
    <mergeCell ref="A197:C197"/>
    <mergeCell ref="B198:C198"/>
    <mergeCell ref="A199:C199"/>
    <mergeCell ref="B200:C200"/>
    <mergeCell ref="D189:D195"/>
    <mergeCell ref="E189:F195"/>
    <mergeCell ref="G189:G195"/>
    <mergeCell ref="A190:C190"/>
    <mergeCell ref="B191:C191"/>
    <mergeCell ref="B192:C192"/>
    <mergeCell ref="A193:C193"/>
    <mergeCell ref="B194:C194"/>
    <mergeCell ref="B195:C195"/>
    <mergeCell ref="D182:D188"/>
    <mergeCell ref="E182:F188"/>
    <mergeCell ref="G182:G188"/>
    <mergeCell ref="A183:C183"/>
    <mergeCell ref="B184:C184"/>
    <mergeCell ref="B185:C185"/>
    <mergeCell ref="A186:C186"/>
    <mergeCell ref="B187:C187"/>
    <mergeCell ref="B188:C188"/>
    <mergeCell ref="D178:D181"/>
    <mergeCell ref="E178:F181"/>
    <mergeCell ref="G178:G181"/>
    <mergeCell ref="A179:C179"/>
    <mergeCell ref="B180:C180"/>
    <mergeCell ref="A181:C181"/>
    <mergeCell ref="E174:F174"/>
    <mergeCell ref="A175:G175"/>
    <mergeCell ref="A176:C176"/>
    <mergeCell ref="E176:F176"/>
    <mergeCell ref="A177:C177"/>
    <mergeCell ref="E177:F177"/>
    <mergeCell ref="E170:F170"/>
    <mergeCell ref="A171:G171"/>
    <mergeCell ref="A172:C172"/>
    <mergeCell ref="E172:F172"/>
    <mergeCell ref="A173:C173"/>
    <mergeCell ref="E173:F173"/>
    <mergeCell ref="D163:D169"/>
    <mergeCell ref="E163:F169"/>
    <mergeCell ref="G163:G169"/>
    <mergeCell ref="A164:C164"/>
    <mergeCell ref="B165:C165"/>
    <mergeCell ref="B166:C166"/>
    <mergeCell ref="A167:C167"/>
    <mergeCell ref="B168:C168"/>
    <mergeCell ref="B169:C169"/>
    <mergeCell ref="D156:D162"/>
    <mergeCell ref="E156:F162"/>
    <mergeCell ref="G156:G162"/>
    <mergeCell ref="A157:C157"/>
    <mergeCell ref="B158:C158"/>
    <mergeCell ref="A160:C160"/>
    <mergeCell ref="B161:C161"/>
    <mergeCell ref="D151:D155"/>
    <mergeCell ref="E151:F155"/>
    <mergeCell ref="G151:G155"/>
    <mergeCell ref="A152:C152"/>
    <mergeCell ref="B153:C153"/>
    <mergeCell ref="A154:C154"/>
    <mergeCell ref="B155:C155"/>
    <mergeCell ref="D146:D150"/>
    <mergeCell ref="E146:F150"/>
    <mergeCell ref="G146:G150"/>
    <mergeCell ref="A147:C147"/>
    <mergeCell ref="B149:C149"/>
    <mergeCell ref="A150:C150"/>
    <mergeCell ref="D141:D145"/>
    <mergeCell ref="E141:F145"/>
    <mergeCell ref="G141:G145"/>
    <mergeCell ref="A142:C142"/>
    <mergeCell ref="B144:C144"/>
    <mergeCell ref="A145:C145"/>
    <mergeCell ref="D136:D140"/>
    <mergeCell ref="E136:F140"/>
    <mergeCell ref="G136:G140"/>
    <mergeCell ref="A137:C137"/>
    <mergeCell ref="A138:C138"/>
    <mergeCell ref="B139:C139"/>
    <mergeCell ref="B140:C140"/>
    <mergeCell ref="D129:D135"/>
    <mergeCell ref="E129:F135"/>
    <mergeCell ref="G129:G135"/>
    <mergeCell ref="A130:C130"/>
    <mergeCell ref="B131:C131"/>
    <mergeCell ref="B132:C132"/>
    <mergeCell ref="A133:C133"/>
    <mergeCell ref="B134:C134"/>
    <mergeCell ref="B135:C135"/>
    <mergeCell ref="D122:D128"/>
    <mergeCell ref="E122:F128"/>
    <mergeCell ref="G122:G128"/>
    <mergeCell ref="A123:C123"/>
    <mergeCell ref="B124:C124"/>
    <mergeCell ref="A125:C125"/>
    <mergeCell ref="B126:C126"/>
    <mergeCell ref="B127:C127"/>
    <mergeCell ref="B128:C128"/>
    <mergeCell ref="D116:D121"/>
    <mergeCell ref="E116:F121"/>
    <mergeCell ref="G116:G121"/>
    <mergeCell ref="A117:C117"/>
    <mergeCell ref="B118:C118"/>
    <mergeCell ref="A119:C119"/>
    <mergeCell ref="B120:C120"/>
    <mergeCell ref="B121:C121"/>
    <mergeCell ref="D109:D115"/>
    <mergeCell ref="E109:F115"/>
    <mergeCell ref="G109:G115"/>
    <mergeCell ref="A110:C110"/>
    <mergeCell ref="B111:C111"/>
    <mergeCell ref="A112:C112"/>
    <mergeCell ref="B113:C113"/>
    <mergeCell ref="B114:C114"/>
    <mergeCell ref="B115:C115"/>
    <mergeCell ref="D103:D108"/>
    <mergeCell ref="E103:F108"/>
    <mergeCell ref="G103:G108"/>
    <mergeCell ref="A104:C104"/>
    <mergeCell ref="A105:C105"/>
    <mergeCell ref="B106:C106"/>
    <mergeCell ref="B107:C107"/>
    <mergeCell ref="D97:D102"/>
    <mergeCell ref="E97:F102"/>
    <mergeCell ref="G97:G102"/>
    <mergeCell ref="A98:C98"/>
    <mergeCell ref="A99:C99"/>
    <mergeCell ref="B100:C100"/>
    <mergeCell ref="B101:C101"/>
    <mergeCell ref="B102:C102"/>
    <mergeCell ref="D92:D96"/>
    <mergeCell ref="E92:F96"/>
    <mergeCell ref="G92:G96"/>
    <mergeCell ref="A93:C93"/>
    <mergeCell ref="A94:C94"/>
    <mergeCell ref="B95:C95"/>
    <mergeCell ref="B96:C96"/>
    <mergeCell ref="D86:D91"/>
    <mergeCell ref="E86:F91"/>
    <mergeCell ref="G86:G91"/>
    <mergeCell ref="A87:C87"/>
    <mergeCell ref="A88:C88"/>
    <mergeCell ref="B89:C89"/>
    <mergeCell ref="B90:C90"/>
    <mergeCell ref="B91:C91"/>
    <mergeCell ref="D80:D85"/>
    <mergeCell ref="E80:F85"/>
    <mergeCell ref="G80:G85"/>
    <mergeCell ref="A81:C81"/>
    <mergeCell ref="A82:C82"/>
    <mergeCell ref="B83:C83"/>
    <mergeCell ref="B84:C84"/>
    <mergeCell ref="B85:C85"/>
    <mergeCell ref="D74:D79"/>
    <mergeCell ref="E74:F79"/>
    <mergeCell ref="G74:G79"/>
    <mergeCell ref="A75:C75"/>
    <mergeCell ref="A76:C76"/>
    <mergeCell ref="B77:C77"/>
    <mergeCell ref="B78:C78"/>
    <mergeCell ref="B79:C79"/>
    <mergeCell ref="D66:D73"/>
    <mergeCell ref="E66:F73"/>
    <mergeCell ref="G66:G73"/>
    <mergeCell ref="A67:C67"/>
    <mergeCell ref="B68:C68"/>
    <mergeCell ref="A69:C69"/>
    <mergeCell ref="B70:C70"/>
    <mergeCell ref="B71:C71"/>
    <mergeCell ref="B72:C72"/>
    <mergeCell ref="B73:C73"/>
    <mergeCell ref="D58:D65"/>
    <mergeCell ref="E58:F65"/>
    <mergeCell ref="G58:G65"/>
    <mergeCell ref="A59:C59"/>
    <mergeCell ref="B60:C60"/>
    <mergeCell ref="B61:C61"/>
    <mergeCell ref="A62:C62"/>
    <mergeCell ref="B63:C63"/>
    <mergeCell ref="B64:C64"/>
    <mergeCell ref="B65:C65"/>
    <mergeCell ref="D52:D57"/>
    <mergeCell ref="E52:F57"/>
    <mergeCell ref="G52:G57"/>
    <mergeCell ref="A53:C53"/>
    <mergeCell ref="B54:C54"/>
    <mergeCell ref="B55:C55"/>
    <mergeCell ref="B56:C56"/>
    <mergeCell ref="A57:C57"/>
    <mergeCell ref="D47:D51"/>
    <mergeCell ref="E47:F51"/>
    <mergeCell ref="G47:G51"/>
    <mergeCell ref="A48:C48"/>
    <mergeCell ref="A49:C49"/>
    <mergeCell ref="B50:C50"/>
    <mergeCell ref="B51:C51"/>
    <mergeCell ref="D42:D46"/>
    <mergeCell ref="E42:F46"/>
    <mergeCell ref="G42:G46"/>
    <mergeCell ref="A43:C43"/>
    <mergeCell ref="A44:C44"/>
    <mergeCell ref="B45:C45"/>
    <mergeCell ref="B46:C46"/>
    <mergeCell ref="D37:D41"/>
    <mergeCell ref="E37:F41"/>
    <mergeCell ref="G37:G41"/>
    <mergeCell ref="A38:C38"/>
    <mergeCell ref="A39:C39"/>
    <mergeCell ref="B40:C40"/>
    <mergeCell ref="B41:C41"/>
    <mergeCell ref="D32:D36"/>
    <mergeCell ref="E32:F36"/>
    <mergeCell ref="G32:G36"/>
    <mergeCell ref="A33:C33"/>
    <mergeCell ref="A34:C34"/>
    <mergeCell ref="B35:C35"/>
    <mergeCell ref="B36:C36"/>
    <mergeCell ref="D27:D31"/>
    <mergeCell ref="E27:F31"/>
    <mergeCell ref="G27:G31"/>
    <mergeCell ref="A28:C28"/>
    <mergeCell ref="A29:C29"/>
    <mergeCell ref="B30:C30"/>
    <mergeCell ref="B31:C31"/>
    <mergeCell ref="D22:D26"/>
    <mergeCell ref="E22:F26"/>
    <mergeCell ref="G22:G26"/>
    <mergeCell ref="A23:C23"/>
    <mergeCell ref="A24:C24"/>
    <mergeCell ref="B25:C25"/>
    <mergeCell ref="B26:C26"/>
    <mergeCell ref="D17:D21"/>
    <mergeCell ref="E17:F21"/>
    <mergeCell ref="G17:G21"/>
    <mergeCell ref="A18:C18"/>
    <mergeCell ref="A19:C19"/>
    <mergeCell ref="B20:C20"/>
    <mergeCell ref="B21:C21"/>
    <mergeCell ref="D12:D16"/>
    <mergeCell ref="E12:F16"/>
    <mergeCell ref="G12:G16"/>
    <mergeCell ref="A13:C13"/>
    <mergeCell ref="A14:C14"/>
    <mergeCell ref="B15:C15"/>
    <mergeCell ref="B16:C16"/>
    <mergeCell ref="E8:F8"/>
    <mergeCell ref="A9:G9"/>
    <mergeCell ref="A10:C10"/>
    <mergeCell ref="E10:F10"/>
    <mergeCell ref="A11:C11"/>
    <mergeCell ref="E11:F11"/>
    <mergeCell ref="V2:V3"/>
    <mergeCell ref="E4:F4"/>
    <mergeCell ref="A5:G5"/>
    <mergeCell ref="A6:C6"/>
    <mergeCell ref="E6:F6"/>
    <mergeCell ref="A7:C7"/>
    <mergeCell ref="E7:F7"/>
    <mergeCell ref="P1:T1"/>
    <mergeCell ref="B2:B3"/>
    <mergeCell ref="C2:C3"/>
    <mergeCell ref="D2:D3"/>
    <mergeCell ref="E2:F3"/>
    <mergeCell ref="G2:G3"/>
    <mergeCell ref="H2:H3"/>
    <mergeCell ref="I2:U2"/>
  </mergeCells>
  <pageMargins left="0" right="0" top="7.874015748031496E-2" bottom="0.39370078740157483" header="0.31496062992125984" footer="0.31496062992125984"/>
  <pageSetup paperSize="9" scale="53" orientation="landscape" r:id="rId1"/>
  <headerFooter>
    <oddFooter>Strona &amp;P z &amp;N</oddFooter>
  </headerFooter>
  <rowBreaks count="8" manualBreakCount="8">
    <brk id="51" max="22" man="1"/>
    <brk id="169" max="22" man="1"/>
    <brk id="188" max="21" man="1"/>
    <brk id="216" max="21" man="1"/>
    <brk id="247" max="21" man="1"/>
    <brk id="285" max="21" man="1"/>
    <brk id="321" max="21" man="1"/>
    <brk id="34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WPF 2013</vt:lpstr>
      <vt:lpstr>'WPF 2013'!Obszar_wydruku</vt:lpstr>
      <vt:lpstr>'WPF 2013'!Tytuły_wydruku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e.foremny</dc:creator>
  <cp:lastModifiedBy>e.foremny</cp:lastModifiedBy>
  <dcterms:created xsi:type="dcterms:W3CDTF">2012-11-08T12:34:53Z</dcterms:created>
  <dcterms:modified xsi:type="dcterms:W3CDTF">2012-11-08T12:35:47Z</dcterms:modified>
</cp:coreProperties>
</file>