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8240" windowHeight="11535"/>
  </bookViews>
  <sheets>
    <sheet name="Zał Nr 1a marzec Szpital Kr" sheetId="8" r:id="rId1"/>
    <sheet name="Zał Nr 2 marzec" sheetId="5" r:id="rId2"/>
    <sheet name="Zał Nr 1 do uzas. marzec" sheetId="7" r:id="rId3"/>
    <sheet name="Zał Nr 2 do uzas. marzec " sheetId="6" r:id="rId4"/>
  </sheets>
  <definedNames>
    <definedName name="_xlnm.Print_Area" localSheetId="2">'Zał Nr 1 do uzas. marzec'!$A$1:$Z$56</definedName>
    <definedName name="_xlnm.Print_Area" localSheetId="0">'Zał Nr 1a marzec Szpital Kr'!$A$1:$O$102</definedName>
    <definedName name="_xlnm.Print_Area" localSheetId="3">'Zał Nr 2 do uzas. marzec '!$A$1:$V$296</definedName>
    <definedName name="_xlnm.Print_Area" localSheetId="1">'Zał Nr 2 marzec'!$A$1:$U$80</definedName>
    <definedName name="_xlnm.Print_Titles" localSheetId="2">'Zał Nr 1 do uzas. marzec'!$5:$7</definedName>
    <definedName name="_xlnm.Print_Titles" localSheetId="0">'Zał Nr 1a marzec Szpital Kr'!$3:$3</definedName>
    <definedName name="_xlnm.Print_Titles" localSheetId="3">'Zał Nr 2 do uzas. marzec '!$2:$3</definedName>
    <definedName name="_xlnm.Print_Titles" localSheetId="1">'Zał Nr 2 marzec'!$2:$3</definedName>
  </definedNames>
  <calcPr calcId="125725"/>
</workbook>
</file>

<file path=xl/calcChain.xml><?xml version="1.0" encoding="utf-8"?>
<calcChain xmlns="http://schemas.openxmlformats.org/spreadsheetml/2006/main">
  <c r="O104" i="8"/>
  <c r="N104"/>
  <c r="M104"/>
  <c r="L104"/>
  <c r="K104"/>
  <c r="J104"/>
  <c r="I104"/>
  <c r="H104"/>
  <c r="G104"/>
  <c r="F104"/>
  <c r="E104"/>
  <c r="D104"/>
  <c r="C104"/>
  <c r="E60" i="7"/>
  <c r="X55"/>
  <c r="W55"/>
  <c r="S55"/>
  <c r="R55"/>
  <c r="Q55"/>
  <c r="O55"/>
  <c r="N55"/>
  <c r="L55"/>
  <c r="K55"/>
  <c r="I55"/>
  <c r="H55"/>
  <c r="F55"/>
  <c r="E55"/>
  <c r="X54"/>
  <c r="W54"/>
  <c r="S54"/>
  <c r="R54"/>
  <c r="Q54"/>
  <c r="O54"/>
  <c r="N54"/>
  <c r="L54"/>
  <c r="K54"/>
  <c r="I54"/>
  <c r="H54"/>
  <c r="F54"/>
  <c r="E54"/>
  <c r="X53"/>
  <c r="W53"/>
  <c r="S53"/>
  <c r="R53"/>
  <c r="Q53"/>
  <c r="O53"/>
  <c r="N53"/>
  <c r="L53"/>
  <c r="K53"/>
  <c r="I53"/>
  <c r="H53"/>
  <c r="F53"/>
  <c r="E53"/>
  <c r="X52"/>
  <c r="W52"/>
  <c r="S52"/>
  <c r="R52"/>
  <c r="Q52"/>
  <c r="O52"/>
  <c r="N52"/>
  <c r="L52"/>
  <c r="K52"/>
  <c r="I52"/>
  <c r="H52"/>
  <c r="F52"/>
  <c r="E52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X50"/>
  <c r="W50"/>
  <c r="S50"/>
  <c r="R50"/>
  <c r="Q50"/>
  <c r="O50"/>
  <c r="N50"/>
  <c r="L50"/>
  <c r="K50"/>
  <c r="I50"/>
  <c r="H50"/>
  <c r="F50"/>
  <c r="E50"/>
  <c r="X49"/>
  <c r="W49"/>
  <c r="S49"/>
  <c r="R49"/>
  <c r="Q49"/>
  <c r="O49"/>
  <c r="N49"/>
  <c r="L49"/>
  <c r="K49"/>
  <c r="I49"/>
  <c r="H49"/>
  <c r="F49"/>
  <c r="E49"/>
  <c r="X48"/>
  <c r="W48"/>
  <c r="S48"/>
  <c r="R48"/>
  <c r="Q48"/>
  <c r="P48"/>
  <c r="O48"/>
  <c r="N48"/>
  <c r="L48"/>
  <c r="K48"/>
  <c r="I48"/>
  <c r="H48"/>
  <c r="F48"/>
  <c r="E48"/>
  <c r="X47"/>
  <c r="X56" s="1"/>
  <c r="W47"/>
  <c r="W56" s="1"/>
  <c r="S47"/>
  <c r="S56" s="1"/>
  <c r="R47"/>
  <c r="R56" s="1"/>
  <c r="Q47"/>
  <c r="Q56" s="1"/>
  <c r="O47"/>
  <c r="O56" s="1"/>
  <c r="N47"/>
  <c r="N56" s="1"/>
  <c r="L47"/>
  <c r="L56" s="1"/>
  <c r="K47"/>
  <c r="K56" s="1"/>
  <c r="I47"/>
  <c r="I56" s="1"/>
  <c r="H47"/>
  <c r="H56" s="1"/>
  <c r="F47"/>
  <c r="F56" s="1"/>
  <c r="E47"/>
  <c r="E56" s="1"/>
  <c r="X46"/>
  <c r="W46"/>
  <c r="O46"/>
  <c r="N46"/>
  <c r="L46"/>
  <c r="K46"/>
  <c r="I46"/>
  <c r="H46"/>
  <c r="F46"/>
  <c r="E46"/>
  <c r="Y45"/>
  <c r="U45"/>
  <c r="T45"/>
  <c r="P45"/>
  <c r="M45"/>
  <c r="J45"/>
  <c r="V45" s="1"/>
  <c r="Z45" s="1"/>
  <c r="G45"/>
  <c r="Y44"/>
  <c r="Y46" s="1"/>
  <c r="U44"/>
  <c r="U46" s="1"/>
  <c r="T44"/>
  <c r="T46" s="1"/>
  <c r="P44"/>
  <c r="P46" s="1"/>
  <c r="M44"/>
  <c r="M46" s="1"/>
  <c r="J44"/>
  <c r="J46" s="1"/>
  <c r="G44"/>
  <c r="G46" s="1"/>
  <c r="R43"/>
  <c r="R58" s="1"/>
  <c r="Q43"/>
  <c r="Q58" s="1"/>
  <c r="Y42"/>
  <c r="U42"/>
  <c r="T42"/>
  <c r="P42"/>
  <c r="M42"/>
  <c r="J42"/>
  <c r="V42" s="1"/>
  <c r="Z42" s="1"/>
  <c r="G42"/>
  <c r="Y41"/>
  <c r="U41"/>
  <c r="T41"/>
  <c r="P41"/>
  <c r="P54" s="1"/>
  <c r="M41"/>
  <c r="V41" s="1"/>
  <c r="Z41" s="1"/>
  <c r="J41"/>
  <c r="G41"/>
  <c r="X40"/>
  <c r="X43" s="1"/>
  <c r="W40"/>
  <c r="W43" s="1"/>
  <c r="S40"/>
  <c r="S43" s="1"/>
  <c r="S58" s="1"/>
  <c r="P40"/>
  <c r="P43" s="1"/>
  <c r="O40"/>
  <c r="O43" s="1"/>
  <c r="N40"/>
  <c r="N43" s="1"/>
  <c r="M40"/>
  <c r="M43" s="1"/>
  <c r="L40"/>
  <c r="L43" s="1"/>
  <c r="K40"/>
  <c r="K43" s="1"/>
  <c r="J40"/>
  <c r="J43" s="1"/>
  <c r="I40"/>
  <c r="I43" s="1"/>
  <c r="H40"/>
  <c r="H43" s="1"/>
  <c r="G40"/>
  <c r="G43" s="1"/>
  <c r="F40"/>
  <c r="F43" s="1"/>
  <c r="E40"/>
  <c r="E43" s="1"/>
  <c r="I39"/>
  <c r="H39"/>
  <c r="Y38"/>
  <c r="U38"/>
  <c r="T38"/>
  <c r="M38"/>
  <c r="J38"/>
  <c r="V38" s="1"/>
  <c r="Z38" s="1"/>
  <c r="G38"/>
  <c r="Y37"/>
  <c r="Y54" s="1"/>
  <c r="U37"/>
  <c r="U54" s="1"/>
  <c r="T37"/>
  <c r="T54" s="1"/>
  <c r="M37"/>
  <c r="M54" s="1"/>
  <c r="J37"/>
  <c r="J54" s="1"/>
  <c r="G37"/>
  <c r="G54" s="1"/>
  <c r="X36"/>
  <c r="W36"/>
  <c r="Y36" s="1"/>
  <c r="U36"/>
  <c r="T36"/>
  <c r="V36" s="1"/>
  <c r="Z36" s="1"/>
  <c r="L36"/>
  <c r="K36"/>
  <c r="M36" s="1"/>
  <c r="J36"/>
  <c r="F36"/>
  <c r="E36"/>
  <c r="G36" s="1"/>
  <c r="Y35"/>
  <c r="U35"/>
  <c r="T35"/>
  <c r="M35"/>
  <c r="J35"/>
  <c r="V35" s="1"/>
  <c r="Z35" s="1"/>
  <c r="G35"/>
  <c r="Y34"/>
  <c r="Y48" s="1"/>
  <c r="U34"/>
  <c r="U48" s="1"/>
  <c r="T34"/>
  <c r="T48" s="1"/>
  <c r="M34"/>
  <c r="M48" s="1"/>
  <c r="J34"/>
  <c r="J48" s="1"/>
  <c r="G34"/>
  <c r="G48" s="1"/>
  <c r="X33"/>
  <c r="X39" s="1"/>
  <c r="W33"/>
  <c r="W39" s="1"/>
  <c r="U33"/>
  <c r="U39" s="1"/>
  <c r="T33"/>
  <c r="T39" s="1"/>
  <c r="L33"/>
  <c r="L39" s="1"/>
  <c r="K33"/>
  <c r="K39" s="1"/>
  <c r="J33"/>
  <c r="J39" s="1"/>
  <c r="F33"/>
  <c r="F39" s="1"/>
  <c r="E33"/>
  <c r="E39" s="1"/>
  <c r="X32"/>
  <c r="W32"/>
  <c r="L32"/>
  <c r="K32"/>
  <c r="I32"/>
  <c r="H32"/>
  <c r="F32"/>
  <c r="E32"/>
  <c r="Y31"/>
  <c r="Y32" s="1"/>
  <c r="U31"/>
  <c r="U32" s="1"/>
  <c r="T31"/>
  <c r="T32" s="1"/>
  <c r="M31"/>
  <c r="M32" s="1"/>
  <c r="J31"/>
  <c r="J32" s="1"/>
  <c r="G31"/>
  <c r="G32" s="1"/>
  <c r="X24"/>
  <c r="W24"/>
  <c r="O24"/>
  <c r="N24"/>
  <c r="L24"/>
  <c r="K24"/>
  <c r="I24"/>
  <c r="H24"/>
  <c r="F24"/>
  <c r="E24"/>
  <c r="Y23"/>
  <c r="U23"/>
  <c r="T23"/>
  <c r="P23"/>
  <c r="P24" s="1"/>
  <c r="M23"/>
  <c r="J23"/>
  <c r="V23" s="1"/>
  <c r="Z23" s="1"/>
  <c r="G23"/>
  <c r="Y22"/>
  <c r="Y24" s="1"/>
  <c r="U22"/>
  <c r="U24" s="1"/>
  <c r="T22"/>
  <c r="T24" s="1"/>
  <c r="M22"/>
  <c r="M24" s="1"/>
  <c r="J22"/>
  <c r="J24" s="1"/>
  <c r="G22"/>
  <c r="G24" s="1"/>
  <c r="X11"/>
  <c r="X58" s="1"/>
  <c r="W11"/>
  <c r="W58" s="1"/>
  <c r="O11"/>
  <c r="O58" s="1"/>
  <c r="N11"/>
  <c r="N58" s="1"/>
  <c r="L11"/>
  <c r="L58" s="1"/>
  <c r="K11"/>
  <c r="K58" s="1"/>
  <c r="I11"/>
  <c r="I58" s="1"/>
  <c r="H11"/>
  <c r="H58" s="1"/>
  <c r="F11"/>
  <c r="F58" s="1"/>
  <c r="E11"/>
  <c r="E58" s="1"/>
  <c r="Y10"/>
  <c r="Y55" s="1"/>
  <c r="U10"/>
  <c r="U55" s="1"/>
  <c r="T10"/>
  <c r="T55" s="1"/>
  <c r="P10"/>
  <c r="P55" s="1"/>
  <c r="M10"/>
  <c r="M55" s="1"/>
  <c r="J10"/>
  <c r="J55" s="1"/>
  <c r="G10"/>
  <c r="G55" s="1"/>
  <c r="Y9"/>
  <c r="Y52" s="1"/>
  <c r="Y50" s="1"/>
  <c r="U9"/>
  <c r="U52" s="1"/>
  <c r="U50" s="1"/>
  <c r="T9"/>
  <c r="T52" s="1"/>
  <c r="T50" s="1"/>
  <c r="P9"/>
  <c r="P52" s="1"/>
  <c r="P50" s="1"/>
  <c r="M9"/>
  <c r="M52" s="1"/>
  <c r="M50" s="1"/>
  <c r="J9"/>
  <c r="J52" s="1"/>
  <c r="J50" s="1"/>
  <c r="G9"/>
  <c r="G52" s="1"/>
  <c r="G50" s="1"/>
  <c r="Y8"/>
  <c r="Y11" s="1"/>
  <c r="U8"/>
  <c r="U11" s="1"/>
  <c r="T8"/>
  <c r="T49" s="1"/>
  <c r="P8"/>
  <c r="P49" s="1"/>
  <c r="P47" s="1"/>
  <c r="M8"/>
  <c r="M49" s="1"/>
  <c r="J8"/>
  <c r="J49" s="1"/>
  <c r="G8"/>
  <c r="G49" s="1"/>
  <c r="J47" l="1"/>
  <c r="T47"/>
  <c r="G53"/>
  <c r="M53"/>
  <c r="U53"/>
  <c r="P53"/>
  <c r="P56"/>
  <c r="G47"/>
  <c r="G56" s="1"/>
  <c r="M47"/>
  <c r="M56" s="1"/>
  <c r="J53"/>
  <c r="T53"/>
  <c r="Y53"/>
  <c r="V9"/>
  <c r="G11"/>
  <c r="M11"/>
  <c r="T11"/>
  <c r="V22"/>
  <c r="V31"/>
  <c r="V33"/>
  <c r="V34"/>
  <c r="V37"/>
  <c r="T40"/>
  <c r="T43" s="1"/>
  <c r="V40"/>
  <c r="U49"/>
  <c r="U47" s="1"/>
  <c r="U56" s="1"/>
  <c r="Y49"/>
  <c r="Y47" s="1"/>
  <c r="Y56" s="1"/>
  <c r="E59"/>
  <c r="E61"/>
  <c r="V8"/>
  <c r="V10"/>
  <c r="J11"/>
  <c r="J58" s="1"/>
  <c r="P11"/>
  <c r="P58" s="1"/>
  <c r="G33"/>
  <c r="G39" s="1"/>
  <c r="M33"/>
  <c r="M39" s="1"/>
  <c r="Y33"/>
  <c r="Y39" s="1"/>
  <c r="Y58" s="1"/>
  <c r="U40"/>
  <c r="U43" s="1"/>
  <c r="U58" s="1"/>
  <c r="Y40"/>
  <c r="Y43" s="1"/>
  <c r="V44"/>
  <c r="V46" l="1"/>
  <c r="Z46" s="1"/>
  <c r="Z44"/>
  <c r="V55"/>
  <c r="Z10"/>
  <c r="Z55" s="1"/>
  <c r="V43"/>
  <c r="Z43" s="1"/>
  <c r="Z40"/>
  <c r="V54"/>
  <c r="V53" s="1"/>
  <c r="Z37"/>
  <c r="Z54" s="1"/>
  <c r="Z53" s="1"/>
  <c r="V39"/>
  <c r="Z39" s="1"/>
  <c r="Z33"/>
  <c r="V24"/>
  <c r="Z24" s="1"/>
  <c r="Z22"/>
  <c r="V52"/>
  <c r="V50" s="1"/>
  <c r="Z9"/>
  <c r="M58"/>
  <c r="T56"/>
  <c r="V49"/>
  <c r="Z8"/>
  <c r="Z49" s="1"/>
  <c r="V11"/>
  <c r="V48"/>
  <c r="V47" s="1"/>
  <c r="V56" s="1"/>
  <c r="Z34"/>
  <c r="Z48" s="1"/>
  <c r="Z47" s="1"/>
  <c r="V32"/>
  <c r="Z32" s="1"/>
  <c r="Z31"/>
  <c r="T58"/>
  <c r="G58"/>
  <c r="J56"/>
  <c r="V58" l="1"/>
  <c r="Z11"/>
  <c r="Z58" s="1"/>
  <c r="Z52"/>
  <c r="Z50" s="1"/>
  <c r="Z56" s="1"/>
  <c r="V323" i="6" l="1"/>
  <c r="U323"/>
  <c r="T323"/>
  <c r="S323"/>
  <c r="R323"/>
  <c r="Q323"/>
  <c r="P323"/>
  <c r="O323"/>
  <c r="N323"/>
  <c r="M323"/>
  <c r="L323"/>
  <c r="I323"/>
  <c r="H323"/>
  <c r="V322"/>
  <c r="U322"/>
  <c r="T322"/>
  <c r="S322"/>
  <c r="R322"/>
  <c r="Q322"/>
  <c r="P322"/>
  <c r="O322"/>
  <c r="N322"/>
  <c r="M322"/>
  <c r="L322"/>
  <c r="J322"/>
  <c r="I322"/>
  <c r="H322"/>
  <c r="V321"/>
  <c r="U321"/>
  <c r="T321"/>
  <c r="S321"/>
  <c r="R321"/>
  <c r="Q321"/>
  <c r="P321"/>
  <c r="O321"/>
  <c r="N321"/>
  <c r="M321"/>
  <c r="L321"/>
  <c r="I321"/>
  <c r="H321"/>
  <c r="V320"/>
  <c r="U320"/>
  <c r="T320"/>
  <c r="S320"/>
  <c r="R320"/>
  <c r="Q320"/>
  <c r="P320"/>
  <c r="O320"/>
  <c r="N320"/>
  <c r="M320"/>
  <c r="L320"/>
  <c r="I320"/>
  <c r="H320"/>
  <c r="U319"/>
  <c r="T319"/>
  <c r="S319"/>
  <c r="R319"/>
  <c r="Q319"/>
  <c r="P319"/>
  <c r="O319"/>
  <c r="N319"/>
  <c r="M319"/>
  <c r="L319"/>
  <c r="I312"/>
  <c r="I316" s="1"/>
  <c r="I299" s="1"/>
  <c r="V308"/>
  <c r="U308"/>
  <c r="T308"/>
  <c r="S308"/>
  <c r="R308"/>
  <c r="Q308"/>
  <c r="P308"/>
  <c r="O308"/>
  <c r="N308"/>
  <c r="M308"/>
  <c r="L308"/>
  <c r="K308"/>
  <c r="J308"/>
  <c r="I308"/>
  <c r="V303"/>
  <c r="U303"/>
  <c r="T303"/>
  <c r="S303"/>
  <c r="R303"/>
  <c r="Q303"/>
  <c r="P303"/>
  <c r="O303"/>
  <c r="N303"/>
  <c r="M303"/>
  <c r="L303"/>
  <c r="K303"/>
  <c r="J303"/>
  <c r="I303"/>
  <c r="V301"/>
  <c r="U301"/>
  <c r="T301"/>
  <c r="S301"/>
  <c r="R301"/>
  <c r="Q301"/>
  <c r="P301"/>
  <c r="O301"/>
  <c r="N301"/>
  <c r="M301"/>
  <c r="L301"/>
  <c r="K301"/>
  <c r="J301"/>
  <c r="I301"/>
  <c r="H301"/>
  <c r="V300"/>
  <c r="U300"/>
  <c r="T300"/>
  <c r="S300"/>
  <c r="R300"/>
  <c r="Q300"/>
  <c r="V298"/>
  <c r="U298"/>
  <c r="T298"/>
  <c r="S298"/>
  <c r="R298"/>
  <c r="Q298"/>
  <c r="U295"/>
  <c r="U358" s="1"/>
  <c r="T295"/>
  <c r="T358" s="1"/>
  <c r="S295"/>
  <c r="S358" s="1"/>
  <c r="R295"/>
  <c r="R358" s="1"/>
  <c r="Q295"/>
  <c r="Q358" s="1"/>
  <c r="P295"/>
  <c r="P358" s="1"/>
  <c r="O295"/>
  <c r="O358" s="1"/>
  <c r="N295"/>
  <c r="N358" s="1"/>
  <c r="M295"/>
  <c r="M358" s="1"/>
  <c r="L295"/>
  <c r="L358" s="1"/>
  <c r="K295"/>
  <c r="K358" s="1"/>
  <c r="J295"/>
  <c r="J358" s="1"/>
  <c r="I295"/>
  <c r="I358" s="1"/>
  <c r="H295"/>
  <c r="H358" s="1"/>
  <c r="U294"/>
  <c r="U357" s="1"/>
  <c r="T294"/>
  <c r="T357" s="1"/>
  <c r="S294"/>
  <c r="S357" s="1"/>
  <c r="R294"/>
  <c r="R357" s="1"/>
  <c r="Q294"/>
  <c r="Q357" s="1"/>
  <c r="P294"/>
  <c r="P357" s="1"/>
  <c r="O294"/>
  <c r="O357" s="1"/>
  <c r="N294"/>
  <c r="N357" s="1"/>
  <c r="M294"/>
  <c r="M357" s="1"/>
  <c r="L294"/>
  <c r="L357" s="1"/>
  <c r="J294"/>
  <c r="J357" s="1"/>
  <c r="I294"/>
  <c r="I357" s="1"/>
  <c r="H294"/>
  <c r="H357" s="1"/>
  <c r="U293"/>
  <c r="U356" s="1"/>
  <c r="T293"/>
  <c r="T356" s="1"/>
  <c r="S293"/>
  <c r="S356" s="1"/>
  <c r="R293"/>
  <c r="R356" s="1"/>
  <c r="Q293"/>
  <c r="Q356" s="1"/>
  <c r="P293"/>
  <c r="P356" s="1"/>
  <c r="O293"/>
  <c r="O356" s="1"/>
  <c r="N293"/>
  <c r="N356" s="1"/>
  <c r="M293"/>
  <c r="M356" s="1"/>
  <c r="L293"/>
  <c r="L356" s="1"/>
  <c r="J293"/>
  <c r="J356" s="1"/>
  <c r="I293"/>
  <c r="I356" s="1"/>
  <c r="H293"/>
  <c r="H356" s="1"/>
  <c r="U292"/>
  <c r="U355" s="1"/>
  <c r="T292"/>
  <c r="T355" s="1"/>
  <c r="S292"/>
  <c r="S355" s="1"/>
  <c r="R292"/>
  <c r="R355" s="1"/>
  <c r="Q292"/>
  <c r="Q355" s="1"/>
  <c r="P292"/>
  <c r="P355" s="1"/>
  <c r="O292"/>
  <c r="O355" s="1"/>
  <c r="N292"/>
  <c r="N355" s="1"/>
  <c r="M292"/>
  <c r="M355" s="1"/>
  <c r="L292"/>
  <c r="L355" s="1"/>
  <c r="K292"/>
  <c r="K355" s="1"/>
  <c r="J292"/>
  <c r="J355" s="1"/>
  <c r="I292"/>
  <c r="I355" s="1"/>
  <c r="H292"/>
  <c r="H355" s="1"/>
  <c r="U291"/>
  <c r="U354" s="1"/>
  <c r="T291"/>
  <c r="T354" s="1"/>
  <c r="S291"/>
  <c r="S354" s="1"/>
  <c r="R291"/>
  <c r="R354" s="1"/>
  <c r="Q291"/>
  <c r="Q354" s="1"/>
  <c r="P291"/>
  <c r="P354" s="1"/>
  <c r="O291"/>
  <c r="O354" s="1"/>
  <c r="N291"/>
  <c r="N354" s="1"/>
  <c r="M291"/>
  <c r="M354" s="1"/>
  <c r="L291"/>
  <c r="L354" s="1"/>
  <c r="J291"/>
  <c r="J354" s="1"/>
  <c r="I291"/>
  <c r="I354" s="1"/>
  <c r="H291"/>
  <c r="H354" s="1"/>
  <c r="U290"/>
  <c r="U353" s="1"/>
  <c r="T290"/>
  <c r="T353" s="1"/>
  <c r="S290"/>
  <c r="S353" s="1"/>
  <c r="R290"/>
  <c r="R353" s="1"/>
  <c r="Q290"/>
  <c r="Q353" s="1"/>
  <c r="P290"/>
  <c r="P353" s="1"/>
  <c r="O290"/>
  <c r="O353" s="1"/>
  <c r="N290"/>
  <c r="N353" s="1"/>
  <c r="M290"/>
  <c r="M353" s="1"/>
  <c r="L290"/>
  <c r="L353" s="1"/>
  <c r="K290"/>
  <c r="K353" s="1"/>
  <c r="J290"/>
  <c r="J353" s="1"/>
  <c r="I290"/>
  <c r="I353" s="1"/>
  <c r="H290"/>
  <c r="H353" s="1"/>
  <c r="U289"/>
  <c r="U352" s="1"/>
  <c r="T289"/>
  <c r="T352" s="1"/>
  <c r="S289"/>
  <c r="S352" s="1"/>
  <c r="R289"/>
  <c r="R352" s="1"/>
  <c r="Q289"/>
  <c r="Q352" s="1"/>
  <c r="P289"/>
  <c r="P352" s="1"/>
  <c r="O289"/>
  <c r="O352" s="1"/>
  <c r="N289"/>
  <c r="N352" s="1"/>
  <c r="M289"/>
  <c r="M352" s="1"/>
  <c r="L289"/>
  <c r="L352" s="1"/>
  <c r="I289"/>
  <c r="I352" s="1"/>
  <c r="H289"/>
  <c r="H352" s="1"/>
  <c r="U288"/>
  <c r="U351" s="1"/>
  <c r="T288"/>
  <c r="T351" s="1"/>
  <c r="S288"/>
  <c r="S351" s="1"/>
  <c r="R288"/>
  <c r="R351" s="1"/>
  <c r="Q288"/>
  <c r="Q351" s="1"/>
  <c r="P288"/>
  <c r="P351" s="1"/>
  <c r="O288"/>
  <c r="O351" s="1"/>
  <c r="N288"/>
  <c r="N351" s="1"/>
  <c r="M288"/>
  <c r="M351" s="1"/>
  <c r="L288"/>
  <c r="L351" s="1"/>
  <c r="U287"/>
  <c r="U350" s="1"/>
  <c r="T287"/>
  <c r="T350" s="1"/>
  <c r="S287"/>
  <c r="S350" s="1"/>
  <c r="R287"/>
  <c r="R350" s="1"/>
  <c r="Q287"/>
  <c r="Q350" s="1"/>
  <c r="P287"/>
  <c r="P350" s="1"/>
  <c r="O287"/>
  <c r="O350" s="1"/>
  <c r="N287"/>
  <c r="N350" s="1"/>
  <c r="M287"/>
  <c r="M350" s="1"/>
  <c r="L287"/>
  <c r="L350" s="1"/>
  <c r="K287"/>
  <c r="K350" s="1"/>
  <c r="J287"/>
  <c r="J350" s="1"/>
  <c r="I287"/>
  <c r="I350" s="1"/>
  <c r="H287"/>
  <c r="H350" s="1"/>
  <c r="U286"/>
  <c r="U349" s="1"/>
  <c r="T286"/>
  <c r="T349" s="1"/>
  <c r="S286"/>
  <c r="S349" s="1"/>
  <c r="R286"/>
  <c r="R349" s="1"/>
  <c r="Q286"/>
  <c r="Q349" s="1"/>
  <c r="P286"/>
  <c r="P349" s="1"/>
  <c r="O286"/>
  <c r="O349" s="1"/>
  <c r="N286"/>
  <c r="N349" s="1"/>
  <c r="M286"/>
  <c r="M349" s="1"/>
  <c r="L286"/>
  <c r="L349" s="1"/>
  <c r="U285"/>
  <c r="U348" s="1"/>
  <c r="T285"/>
  <c r="T348" s="1"/>
  <c r="S285"/>
  <c r="S348" s="1"/>
  <c r="R285"/>
  <c r="R348" s="1"/>
  <c r="Q285"/>
  <c r="Q348" s="1"/>
  <c r="P285"/>
  <c r="P348" s="1"/>
  <c r="O285"/>
  <c r="O348" s="1"/>
  <c r="N285"/>
  <c r="N348" s="1"/>
  <c r="M285"/>
  <c r="M348" s="1"/>
  <c r="L285"/>
  <c r="L348" s="1"/>
  <c r="K285"/>
  <c r="K348" s="1"/>
  <c r="J285"/>
  <c r="J348" s="1"/>
  <c r="I285"/>
  <c r="I348" s="1"/>
  <c r="H285"/>
  <c r="H348" s="1"/>
  <c r="U284"/>
  <c r="U347" s="1"/>
  <c r="T284"/>
  <c r="T347" s="1"/>
  <c r="S284"/>
  <c r="S347" s="1"/>
  <c r="R284"/>
  <c r="R347" s="1"/>
  <c r="Q284"/>
  <c r="Q347" s="1"/>
  <c r="P284"/>
  <c r="P347" s="1"/>
  <c r="O284"/>
  <c r="O347" s="1"/>
  <c r="N284"/>
  <c r="N347" s="1"/>
  <c r="M284"/>
  <c r="M347" s="1"/>
  <c r="L284"/>
  <c r="L347" s="1"/>
  <c r="I284"/>
  <c r="I347" s="1"/>
  <c r="H284"/>
  <c r="H347" s="1"/>
  <c r="U283"/>
  <c r="U346" s="1"/>
  <c r="T283"/>
  <c r="T346" s="1"/>
  <c r="S283"/>
  <c r="S346" s="1"/>
  <c r="R283"/>
  <c r="R346" s="1"/>
  <c r="Q283"/>
  <c r="Q346" s="1"/>
  <c r="P283"/>
  <c r="P346" s="1"/>
  <c r="O283"/>
  <c r="O346" s="1"/>
  <c r="N283"/>
  <c r="N346" s="1"/>
  <c r="M283"/>
  <c r="M346" s="1"/>
  <c r="L283"/>
  <c r="L346" s="1"/>
  <c r="U282"/>
  <c r="U345" s="1"/>
  <c r="T282"/>
  <c r="T345" s="1"/>
  <c r="S282"/>
  <c r="S345" s="1"/>
  <c r="R282"/>
  <c r="R345" s="1"/>
  <c r="Q282"/>
  <c r="Q345" s="1"/>
  <c r="P282"/>
  <c r="P345" s="1"/>
  <c r="O282"/>
  <c r="O345" s="1"/>
  <c r="N282"/>
  <c r="N345" s="1"/>
  <c r="M282"/>
  <c r="M345" s="1"/>
  <c r="L282"/>
  <c r="L345" s="1"/>
  <c r="K282"/>
  <c r="K345" s="1"/>
  <c r="J282"/>
  <c r="J345" s="1"/>
  <c r="I282"/>
  <c r="I345" s="1"/>
  <c r="H282"/>
  <c r="H345" s="1"/>
  <c r="U281"/>
  <c r="U344" s="1"/>
  <c r="T281"/>
  <c r="T344" s="1"/>
  <c r="S281"/>
  <c r="S344" s="1"/>
  <c r="R281"/>
  <c r="R344" s="1"/>
  <c r="Q281"/>
  <c r="Q344" s="1"/>
  <c r="P281"/>
  <c r="P344" s="1"/>
  <c r="O281"/>
  <c r="O344" s="1"/>
  <c r="N281"/>
  <c r="N344" s="1"/>
  <c r="M281"/>
  <c r="M344" s="1"/>
  <c r="L281"/>
  <c r="L344" s="1"/>
  <c r="J277"/>
  <c r="I277"/>
  <c r="H277"/>
  <c r="J275"/>
  <c r="I275"/>
  <c r="H275"/>
  <c r="P272"/>
  <c r="O272"/>
  <c r="N272"/>
  <c r="M272"/>
  <c r="L272"/>
  <c r="K272"/>
  <c r="J272"/>
  <c r="I272"/>
  <c r="H272"/>
  <c r="P271"/>
  <c r="O271"/>
  <c r="N271"/>
  <c r="M271"/>
  <c r="L271"/>
  <c r="K271"/>
  <c r="J271"/>
  <c r="I271"/>
  <c r="H271"/>
  <c r="H269"/>
  <c r="K268"/>
  <c r="J268"/>
  <c r="I268"/>
  <c r="H268"/>
  <c r="K267"/>
  <c r="J267"/>
  <c r="I267"/>
  <c r="H267"/>
  <c r="I265"/>
  <c r="I288" s="1"/>
  <c r="U264"/>
  <c r="T264"/>
  <c r="S264"/>
  <c r="R264"/>
  <c r="Q264"/>
  <c r="P264"/>
  <c r="O264"/>
  <c r="N264"/>
  <c r="M264"/>
  <c r="L264"/>
  <c r="K264"/>
  <c r="J264"/>
  <c r="I264"/>
  <c r="H264"/>
  <c r="U263"/>
  <c r="T263"/>
  <c r="S263"/>
  <c r="R263"/>
  <c r="Q263"/>
  <c r="P263"/>
  <c r="O263"/>
  <c r="N263"/>
  <c r="M263"/>
  <c r="L263"/>
  <c r="K263"/>
  <c r="J263"/>
  <c r="I263"/>
  <c r="H263"/>
  <c r="M260"/>
  <c r="L260"/>
  <c r="K260"/>
  <c r="J260"/>
  <c r="I260"/>
  <c r="H260"/>
  <c r="V259"/>
  <c r="M259"/>
  <c r="L259"/>
  <c r="K259"/>
  <c r="J259"/>
  <c r="I259"/>
  <c r="H259"/>
  <c r="H257"/>
  <c r="H288" s="1"/>
  <c r="J256"/>
  <c r="I256"/>
  <c r="H256"/>
  <c r="V255"/>
  <c r="J255"/>
  <c r="I255"/>
  <c r="H255"/>
  <c r="K252"/>
  <c r="J252"/>
  <c r="I252"/>
  <c r="H252"/>
  <c r="K251"/>
  <c r="J251"/>
  <c r="I251"/>
  <c r="H251"/>
  <c r="J249"/>
  <c r="I249"/>
  <c r="I247" s="1"/>
  <c r="H249"/>
  <c r="J247"/>
  <c r="H247"/>
  <c r="K244"/>
  <c r="J244"/>
  <c r="I244"/>
  <c r="H244"/>
  <c r="K243"/>
  <c r="J243"/>
  <c r="I243"/>
  <c r="H243"/>
  <c r="N240"/>
  <c r="M240"/>
  <c r="M238" s="1"/>
  <c r="L240"/>
  <c r="K240"/>
  <c r="K238" s="1"/>
  <c r="J240"/>
  <c r="I240"/>
  <c r="I238" s="1"/>
  <c r="H240"/>
  <c r="N238"/>
  <c r="L238"/>
  <c r="J238"/>
  <c r="H238"/>
  <c r="P234"/>
  <c r="O234"/>
  <c r="O233" s="1"/>
  <c r="N234"/>
  <c r="M234"/>
  <c r="M233" s="1"/>
  <c r="L234"/>
  <c r="K234"/>
  <c r="K233" s="1"/>
  <c r="J234"/>
  <c r="I234"/>
  <c r="I233" s="1"/>
  <c r="H234"/>
  <c r="P233"/>
  <c r="N233"/>
  <c r="L233"/>
  <c r="J233"/>
  <c r="H233"/>
  <c r="M229"/>
  <c r="L229"/>
  <c r="K229"/>
  <c r="J229"/>
  <c r="I229"/>
  <c r="H229"/>
  <c r="M228"/>
  <c r="L228"/>
  <c r="K228"/>
  <c r="J228"/>
  <c r="I228"/>
  <c r="H228"/>
  <c r="K224"/>
  <c r="J224"/>
  <c r="I224"/>
  <c r="H224"/>
  <c r="K222"/>
  <c r="J222"/>
  <c r="I222"/>
  <c r="H222"/>
  <c r="K220"/>
  <c r="J220"/>
  <c r="I220"/>
  <c r="H220"/>
  <c r="K218"/>
  <c r="J218"/>
  <c r="I218"/>
  <c r="H218"/>
  <c r="K217"/>
  <c r="J217"/>
  <c r="I217"/>
  <c r="H217"/>
  <c r="I215"/>
  <c r="H215"/>
  <c r="K213"/>
  <c r="J213"/>
  <c r="I213"/>
  <c r="H213"/>
  <c r="K212"/>
  <c r="J212"/>
  <c r="I212"/>
  <c r="H212"/>
  <c r="K209"/>
  <c r="J209"/>
  <c r="I209"/>
  <c r="H209"/>
  <c r="K208"/>
  <c r="J208"/>
  <c r="I208"/>
  <c r="H208"/>
  <c r="U207"/>
  <c r="T207"/>
  <c r="S207"/>
  <c r="R207"/>
  <c r="Q207"/>
  <c r="P207"/>
  <c r="O207"/>
  <c r="N207"/>
  <c r="M207"/>
  <c r="L207"/>
  <c r="K207"/>
  <c r="J207"/>
  <c r="I207"/>
  <c r="H207"/>
  <c r="U206"/>
  <c r="T206"/>
  <c r="S206"/>
  <c r="R206"/>
  <c r="Q206"/>
  <c r="P206"/>
  <c r="O206"/>
  <c r="N206"/>
  <c r="M206"/>
  <c r="L206"/>
  <c r="K206"/>
  <c r="J206"/>
  <c r="I206"/>
  <c r="H206"/>
  <c r="V205"/>
  <c r="U205"/>
  <c r="T205"/>
  <c r="S205"/>
  <c r="R205"/>
  <c r="Q205"/>
  <c r="P205"/>
  <c r="O205"/>
  <c r="N205"/>
  <c r="M205"/>
  <c r="L205"/>
  <c r="K205"/>
  <c r="J205"/>
  <c r="I205"/>
  <c r="H205"/>
  <c r="U201"/>
  <c r="T201"/>
  <c r="S201"/>
  <c r="R201"/>
  <c r="Q201"/>
  <c r="P201"/>
  <c r="O201"/>
  <c r="N201"/>
  <c r="M201"/>
  <c r="L201"/>
  <c r="K201"/>
  <c r="J201"/>
  <c r="I201"/>
  <c r="K196"/>
  <c r="J196"/>
  <c r="I196"/>
  <c r="H196"/>
  <c r="K195"/>
  <c r="J195"/>
  <c r="I195"/>
  <c r="H195"/>
  <c r="K192"/>
  <c r="J192"/>
  <c r="I192"/>
  <c r="H192"/>
  <c r="K189"/>
  <c r="J189"/>
  <c r="I189"/>
  <c r="H189"/>
  <c r="K188"/>
  <c r="J188"/>
  <c r="I188"/>
  <c r="H188"/>
  <c r="J185"/>
  <c r="I185"/>
  <c r="H185"/>
  <c r="J182"/>
  <c r="I182"/>
  <c r="H182"/>
  <c r="V181"/>
  <c r="J181"/>
  <c r="I181"/>
  <c r="H181"/>
  <c r="K177"/>
  <c r="J177"/>
  <c r="I177"/>
  <c r="H177"/>
  <c r="K176"/>
  <c r="J176"/>
  <c r="I176"/>
  <c r="H176"/>
  <c r="H174"/>
  <c r="J172"/>
  <c r="J171" s="1"/>
  <c r="I172"/>
  <c r="H172"/>
  <c r="I171"/>
  <c r="H171"/>
  <c r="J167"/>
  <c r="I167"/>
  <c r="H167"/>
  <c r="J166"/>
  <c r="I166"/>
  <c r="H166"/>
  <c r="J162"/>
  <c r="I162"/>
  <c r="H162"/>
  <c r="J161"/>
  <c r="I161"/>
  <c r="H161"/>
  <c r="K157"/>
  <c r="J157"/>
  <c r="I157"/>
  <c r="H157"/>
  <c r="V155"/>
  <c r="K155"/>
  <c r="J155"/>
  <c r="I155"/>
  <c r="H155"/>
  <c r="K154"/>
  <c r="K322" s="1"/>
  <c r="J153"/>
  <c r="I153"/>
  <c r="H153"/>
  <c r="K152"/>
  <c r="K289" s="1"/>
  <c r="K151"/>
  <c r="J151"/>
  <c r="I151"/>
  <c r="H151"/>
  <c r="J150"/>
  <c r="I150"/>
  <c r="H150"/>
  <c r="H147"/>
  <c r="K144"/>
  <c r="J144"/>
  <c r="I144"/>
  <c r="H144"/>
  <c r="K143"/>
  <c r="J143"/>
  <c r="I143"/>
  <c r="H143"/>
  <c r="I139"/>
  <c r="H139"/>
  <c r="N137"/>
  <c r="M137"/>
  <c r="L137"/>
  <c r="K137"/>
  <c r="J137"/>
  <c r="H137"/>
  <c r="N136"/>
  <c r="M136"/>
  <c r="L136"/>
  <c r="K136"/>
  <c r="J136"/>
  <c r="I136"/>
  <c r="H136"/>
  <c r="I133"/>
  <c r="H133"/>
  <c r="N131"/>
  <c r="M131"/>
  <c r="L131"/>
  <c r="K131"/>
  <c r="J131"/>
  <c r="I131"/>
  <c r="H131"/>
  <c r="N130"/>
  <c r="M130"/>
  <c r="L130"/>
  <c r="K130"/>
  <c r="J130"/>
  <c r="I130"/>
  <c r="H130"/>
  <c r="P126"/>
  <c r="P300" s="1"/>
  <c r="P298" s="1"/>
  <c r="O126"/>
  <c r="O300" s="1"/>
  <c r="O298" s="1"/>
  <c r="N126"/>
  <c r="N300" s="1"/>
  <c r="N298" s="1"/>
  <c r="M126"/>
  <c r="M300" s="1"/>
  <c r="M298" s="1"/>
  <c r="L126"/>
  <c r="L300" s="1"/>
  <c r="L298" s="1"/>
  <c r="K126"/>
  <c r="J126"/>
  <c r="I126"/>
  <c r="H126"/>
  <c r="P124"/>
  <c r="O124"/>
  <c r="N124"/>
  <c r="M124"/>
  <c r="L124"/>
  <c r="K124"/>
  <c r="J124"/>
  <c r="I124"/>
  <c r="H124"/>
  <c r="P123"/>
  <c r="O123"/>
  <c r="N123"/>
  <c r="M123"/>
  <c r="L123"/>
  <c r="K123"/>
  <c r="J123"/>
  <c r="I123"/>
  <c r="H123"/>
  <c r="K119"/>
  <c r="J119"/>
  <c r="I119"/>
  <c r="H119"/>
  <c r="K117"/>
  <c r="J117"/>
  <c r="I117"/>
  <c r="H117"/>
  <c r="J113"/>
  <c r="I113"/>
  <c r="H113"/>
  <c r="J111"/>
  <c r="I111"/>
  <c r="H111"/>
  <c r="J108"/>
  <c r="J106" s="1"/>
  <c r="I108"/>
  <c r="H108"/>
  <c r="I106"/>
  <c r="H106"/>
  <c r="K102"/>
  <c r="J102"/>
  <c r="I102"/>
  <c r="H102"/>
  <c r="K100"/>
  <c r="J100"/>
  <c r="I100"/>
  <c r="H100"/>
  <c r="J96"/>
  <c r="I96"/>
  <c r="H96"/>
  <c r="J94"/>
  <c r="I94"/>
  <c r="H94"/>
  <c r="J90"/>
  <c r="I90"/>
  <c r="H90"/>
  <c r="J88"/>
  <c r="I88"/>
  <c r="H88"/>
  <c r="K83"/>
  <c r="J83"/>
  <c r="I83"/>
  <c r="H83"/>
  <c r="K81"/>
  <c r="J81"/>
  <c r="I81"/>
  <c r="H81"/>
  <c r="K80"/>
  <c r="J80"/>
  <c r="I80"/>
  <c r="H80"/>
  <c r="J76"/>
  <c r="I76"/>
  <c r="H76"/>
  <c r="J73"/>
  <c r="I73"/>
  <c r="H73"/>
  <c r="J72"/>
  <c r="I72"/>
  <c r="H72"/>
  <c r="P67"/>
  <c r="O67"/>
  <c r="N67"/>
  <c r="M67"/>
  <c r="L67"/>
  <c r="K67"/>
  <c r="J67"/>
  <c r="I67"/>
  <c r="H67"/>
  <c r="P66"/>
  <c r="O66"/>
  <c r="N66"/>
  <c r="M66"/>
  <c r="L66"/>
  <c r="K66"/>
  <c r="J66"/>
  <c r="I66"/>
  <c r="H66"/>
  <c r="K63"/>
  <c r="J63"/>
  <c r="I63"/>
  <c r="H63"/>
  <c r="K60"/>
  <c r="J60"/>
  <c r="I60"/>
  <c r="H60"/>
  <c r="K59"/>
  <c r="J59"/>
  <c r="I59"/>
  <c r="H59"/>
  <c r="K57"/>
  <c r="K293" s="1"/>
  <c r="K56"/>
  <c r="J56"/>
  <c r="I56"/>
  <c r="H56"/>
  <c r="J55"/>
  <c r="J321" s="1"/>
  <c r="K54"/>
  <c r="K288" s="1"/>
  <c r="J54"/>
  <c r="J323" s="1"/>
  <c r="K53"/>
  <c r="J53"/>
  <c r="I53"/>
  <c r="H53"/>
  <c r="K52"/>
  <c r="J52"/>
  <c r="I52"/>
  <c r="H52"/>
  <c r="J49"/>
  <c r="I49"/>
  <c r="H49"/>
  <c r="J47"/>
  <c r="I47"/>
  <c r="H47"/>
  <c r="J44"/>
  <c r="I44"/>
  <c r="H44"/>
  <c r="J42"/>
  <c r="I42"/>
  <c r="H42"/>
  <c r="J39"/>
  <c r="I39"/>
  <c r="H39"/>
  <c r="V37"/>
  <c r="J37"/>
  <c r="I37"/>
  <c r="H37"/>
  <c r="K34"/>
  <c r="J34"/>
  <c r="I34"/>
  <c r="H34"/>
  <c r="K32"/>
  <c r="J32"/>
  <c r="I32"/>
  <c r="H32"/>
  <c r="K29"/>
  <c r="J29"/>
  <c r="I29"/>
  <c r="H29"/>
  <c r="K27"/>
  <c r="J27"/>
  <c r="I27"/>
  <c r="H27"/>
  <c r="J24"/>
  <c r="I24"/>
  <c r="H24"/>
  <c r="J22"/>
  <c r="I22"/>
  <c r="H22"/>
  <c r="K19"/>
  <c r="J19"/>
  <c r="I19"/>
  <c r="H19"/>
  <c r="K17"/>
  <c r="J17"/>
  <c r="I17"/>
  <c r="H17"/>
  <c r="W14"/>
  <c r="J14"/>
  <c r="J300" s="1"/>
  <c r="J298" s="1"/>
  <c r="I14"/>
  <c r="I300" s="1"/>
  <c r="H14"/>
  <c r="H300" s="1"/>
  <c r="H298" s="1"/>
  <c r="W13"/>
  <c r="J12"/>
  <c r="I12"/>
  <c r="H12"/>
  <c r="U11"/>
  <c r="T11"/>
  <c r="S11"/>
  <c r="R11"/>
  <c r="Q11"/>
  <c r="P11"/>
  <c r="O11"/>
  <c r="N11"/>
  <c r="M11"/>
  <c r="L11"/>
  <c r="J11"/>
  <c r="I11"/>
  <c r="H11"/>
  <c r="U10"/>
  <c r="T10"/>
  <c r="S10"/>
  <c r="R10"/>
  <c r="Q10"/>
  <c r="P10"/>
  <c r="O10"/>
  <c r="N10"/>
  <c r="M10"/>
  <c r="L10"/>
  <c r="K10"/>
  <c r="J10"/>
  <c r="I10"/>
  <c r="I9" s="1"/>
  <c r="H10"/>
  <c r="V9"/>
  <c r="V281" s="1"/>
  <c r="V344" s="1"/>
  <c r="U9"/>
  <c r="T9"/>
  <c r="S9"/>
  <c r="R9"/>
  <c r="Q9"/>
  <c r="P9"/>
  <c r="O9"/>
  <c r="N9"/>
  <c r="M9"/>
  <c r="L9"/>
  <c r="J9"/>
  <c r="H9"/>
  <c r="U7"/>
  <c r="T7"/>
  <c r="S7"/>
  <c r="R7"/>
  <c r="Q7"/>
  <c r="P7"/>
  <c r="O7"/>
  <c r="N7"/>
  <c r="M7"/>
  <c r="L7"/>
  <c r="J7"/>
  <c r="I7"/>
  <c r="H7"/>
  <c r="U6"/>
  <c r="T6"/>
  <c r="T5" s="1"/>
  <c r="S6"/>
  <c r="R6"/>
  <c r="R5" s="1"/>
  <c r="Q6"/>
  <c r="P6"/>
  <c r="P5" s="1"/>
  <c r="O6"/>
  <c r="N6"/>
  <c r="N5" s="1"/>
  <c r="M6"/>
  <c r="L6"/>
  <c r="L5" s="1"/>
  <c r="K6"/>
  <c r="J6"/>
  <c r="J5" s="1"/>
  <c r="I6"/>
  <c r="H6"/>
  <c r="H5" s="1"/>
  <c r="V5"/>
  <c r="U5"/>
  <c r="S5"/>
  <c r="Q5"/>
  <c r="O5"/>
  <c r="M5"/>
  <c r="I5"/>
  <c r="U73" i="5"/>
  <c r="T73"/>
  <c r="S73"/>
  <c r="R73"/>
  <c r="Q73"/>
  <c r="P73"/>
  <c r="O73"/>
  <c r="N73"/>
  <c r="M73"/>
  <c r="L73"/>
  <c r="K73"/>
  <c r="J73"/>
  <c r="I73"/>
  <c r="H73"/>
  <c r="G73"/>
  <c r="U69"/>
  <c r="U68"/>
  <c r="U60" s="1"/>
  <c r="U59" s="1"/>
  <c r="T60"/>
  <c r="S60"/>
  <c r="R60"/>
  <c r="Q60"/>
  <c r="P60"/>
  <c r="O60"/>
  <c r="N60"/>
  <c r="M60"/>
  <c r="L60"/>
  <c r="K60"/>
  <c r="J60"/>
  <c r="I60"/>
  <c r="H60"/>
  <c r="G60"/>
  <c r="T59"/>
  <c r="S59"/>
  <c r="R59"/>
  <c r="Q59"/>
  <c r="P59"/>
  <c r="O59"/>
  <c r="N59"/>
  <c r="M59"/>
  <c r="L59"/>
  <c r="K59"/>
  <c r="J59"/>
  <c r="I59"/>
  <c r="H59"/>
  <c r="G59"/>
  <c r="T55"/>
  <c r="S55"/>
  <c r="R55"/>
  <c r="Q55"/>
  <c r="P55"/>
  <c r="O55"/>
  <c r="N55"/>
  <c r="M55"/>
  <c r="L55"/>
  <c r="K55"/>
  <c r="J55"/>
  <c r="I55"/>
  <c r="H55"/>
  <c r="U52"/>
  <c r="U50"/>
  <c r="U32"/>
  <c r="U26" s="1"/>
  <c r="U7" s="1"/>
  <c r="T26"/>
  <c r="S26"/>
  <c r="R26"/>
  <c r="Q26"/>
  <c r="P26"/>
  <c r="O26"/>
  <c r="N26"/>
  <c r="M26"/>
  <c r="L26"/>
  <c r="K26"/>
  <c r="J26"/>
  <c r="I26"/>
  <c r="H26"/>
  <c r="G26"/>
  <c r="U22"/>
  <c r="T9"/>
  <c r="S9"/>
  <c r="R9"/>
  <c r="Q9"/>
  <c r="P9"/>
  <c r="O9"/>
  <c r="N9"/>
  <c r="M9"/>
  <c r="L9"/>
  <c r="K9"/>
  <c r="J9"/>
  <c r="I9"/>
  <c r="H9"/>
  <c r="G9"/>
  <c r="T8"/>
  <c r="S8"/>
  <c r="R8"/>
  <c r="Q8"/>
  <c r="P8"/>
  <c r="O8"/>
  <c r="N8"/>
  <c r="M8"/>
  <c r="L8"/>
  <c r="K8"/>
  <c r="J8"/>
  <c r="I8"/>
  <c r="H8"/>
  <c r="G8"/>
  <c r="T7"/>
  <c r="S7"/>
  <c r="R7"/>
  <c r="Q7"/>
  <c r="P7"/>
  <c r="O7"/>
  <c r="N7"/>
  <c r="M7"/>
  <c r="L7"/>
  <c r="K7"/>
  <c r="J7"/>
  <c r="I7"/>
  <c r="H7"/>
  <c r="G7"/>
  <c r="T6"/>
  <c r="S6"/>
  <c r="R6"/>
  <c r="Q6"/>
  <c r="P6"/>
  <c r="O6"/>
  <c r="N6"/>
  <c r="M6"/>
  <c r="L6"/>
  <c r="K6"/>
  <c r="J6"/>
  <c r="I6"/>
  <c r="H6"/>
  <c r="G6"/>
  <c r="T5"/>
  <c r="S5"/>
  <c r="R5"/>
  <c r="Q5"/>
  <c r="P5"/>
  <c r="O5"/>
  <c r="N5"/>
  <c r="M5"/>
  <c r="L5"/>
  <c r="K5"/>
  <c r="J5"/>
  <c r="I5"/>
  <c r="H5"/>
  <c r="G5"/>
  <c r="K352" i="6" l="1"/>
  <c r="J320"/>
  <c r="K286"/>
  <c r="K283"/>
  <c r="K346" s="1"/>
  <c r="K351"/>
  <c r="K356"/>
  <c r="H351"/>
  <c r="H286"/>
  <c r="H283"/>
  <c r="H346" s="1"/>
  <c r="I286"/>
  <c r="I283"/>
  <c r="I346" s="1"/>
  <c r="I351"/>
  <c r="I298"/>
  <c r="K153"/>
  <c r="J288"/>
  <c r="J289"/>
  <c r="K321"/>
  <c r="K323"/>
  <c r="K294"/>
  <c r="K357" s="1"/>
  <c r="U9" i="5"/>
  <c r="J352" i="6" l="1"/>
  <c r="J284"/>
  <c r="J347" s="1"/>
  <c r="K150"/>
  <c r="K11"/>
  <c r="I349"/>
  <c r="I281"/>
  <c r="I344" s="1"/>
  <c r="H349"/>
  <c r="H281"/>
  <c r="H344" s="1"/>
  <c r="K349"/>
  <c r="K300"/>
  <c r="K298" s="1"/>
  <c r="K284"/>
  <c r="K347" s="1"/>
  <c r="J351"/>
  <c r="J286"/>
  <c r="J283"/>
  <c r="J346" s="1"/>
  <c r="K320"/>
  <c r="K291"/>
  <c r="K354" s="1"/>
  <c r="U8" i="5"/>
  <c r="U6"/>
  <c r="J349" i="6" l="1"/>
  <c r="J281"/>
  <c r="J344" s="1"/>
  <c r="K9"/>
  <c r="K7"/>
  <c r="K5" s="1"/>
  <c r="K281"/>
  <c r="K344" s="1"/>
  <c r="U5" i="5"/>
</calcChain>
</file>

<file path=xl/sharedStrings.xml><?xml version="1.0" encoding="utf-8"?>
<sst xmlns="http://schemas.openxmlformats.org/spreadsheetml/2006/main" count="1121" uniqueCount="471">
  <si>
    <t>Lp.</t>
  </si>
  <si>
    <t>Wyszczególnienie</t>
  </si>
  <si>
    <t>ze sprzedaży majątku</t>
  </si>
  <si>
    <t>Inne przychody niezwiązane z zaciągnięciem długu</t>
  </si>
  <si>
    <t>Przychody budżetu</t>
  </si>
  <si>
    <t>WIELOLETNIA PROGNOZA FINANSOWA WOJEWÓDZTWA PODKARPACKIEGO NA LATA 2013 - 2025</t>
  </si>
  <si>
    <t>Wydatki bieżące, w tym:</t>
  </si>
  <si>
    <t>Dochody ogółem</t>
  </si>
  <si>
    <t>Dochody bieżące, w tym:</t>
  </si>
  <si>
    <t>dochody z tytułu udziału we wpływach z podatku dochodowego od osób prawnych</t>
  </si>
  <si>
    <t>podatki i opłaty</t>
  </si>
  <si>
    <t>z podatku od nieruchomości</t>
  </si>
  <si>
    <t>z subwencji ogólnej</t>
  </si>
  <si>
    <t>z tytułu dotacji i środków przeznaczonych na cele bieżące</t>
  </si>
  <si>
    <t>Dochody majątkowe, w tym:</t>
  </si>
  <si>
    <t>z tytułu dotacji oraz środków przeznaczonych na inwestycje</t>
  </si>
  <si>
    <t>Wydatki ogółem</t>
  </si>
  <si>
    <t>Wydatki majątkowe</t>
  </si>
  <si>
    <t>Wynik budżetu</t>
  </si>
  <si>
    <t xml:space="preserve">Nadwyżka budżetowa z lat ubiegłych </t>
  </si>
  <si>
    <t>w tym na pokrycie deficytu budżetu</t>
  </si>
  <si>
    <t>Wolne środki, o których mowa w art. 217 ust. 2 pkt 6 ustawy</t>
  </si>
  <si>
    <t>Kredyty, pożyczki, emisja papierów wartościowych</t>
  </si>
  <si>
    <t>Rozchody budżetu</t>
  </si>
  <si>
    <t>Spłaty rat kapitałowych  kredytów i pożyczek oraz wykupu papierów wartościowych</t>
  </si>
  <si>
    <t>w tym łączna kwota przypadających na dany rok kwot wyłączeń określonych w: art. 243 ust. 3 pkt 1 ustawy (lub art. 169 ust. 3 pkt 1 ufp z 2005 r.), art. 121a ustawy  z dnia 27 sierpnia 2009 r. – Przepisy wprowadzające ustawę o finansach publicznych  (Dz. U. Nr 157, poz. 1241, z późn. zm.) oraz art.  36 ustawy z dnia 7 grudnia 2012 r. o zmianie niektórych ustaw związanych z realizacją ustawy budżetowej (Dz.U. poz. 1456)</t>
  </si>
  <si>
    <t>w tym kwota przypadających na dany rok kwot wyłączeń określonych w art. 243 ust. 3 pkt 1 ustawy lub art. 169 ust. 3 pkt 1 ufp z 2005 r.</t>
  </si>
  <si>
    <t>Kwota długu</t>
  </si>
  <si>
    <t xml:space="preserve"> - kwota wyłączeń z ograniczeń długu określonych w art. 170 ust. 3 ufp z 2005 r.</t>
  </si>
  <si>
    <t>Relacja zrównoważenia wydatków bieżących, o której mowa w art. 242 ustawy</t>
  </si>
  <si>
    <t>Różnica między dochodami bieżącymi a wydatkami bieżącymi</t>
  </si>
  <si>
    <t>Różnica między dochodami bieżącymi powiększonymi o nadwyżkę budżetową określoną w pkt 4.1. i wolne środki określone w pkt 4.2. a wydatkami bieżącymi, pomniejszonymi o wydatki określone w pkt 2.1.2.</t>
  </si>
  <si>
    <t>Wskaźnik spłaty zobowiązań</t>
  </si>
  <si>
    <t>Wskaźnik planowanej łącznej kwoty spłaty zobowiązań, o której mowa w art. 243 ust. 1 ustawy do dochodów ogółem, bez uwzględnienia zobowiązań związku współtworzonego przez jednostkę samorządu terytorialnego  i bez uwzględniania wyłączeń przypadających na dany rok określonych w pkt 5.1.1.</t>
  </si>
  <si>
    <t xml:space="preserve">Wskaźnik planowanej łącznej kwoty spłaty zobowiązań, o której mowa w art. 243 ust. 1 ustawy do dochodów ogółem, bez uwzględnienia zobowiązań związku współtworzonego przez jednostkę samorządu terytorialnego, po uwzględnieniu wyłączeń przypadających na dany rok określonych w pkt 5.1.1. </t>
  </si>
  <si>
    <t xml:space="preserve"> Kwota zobowiązań związku współtworzonego przez jednostkę samorządu terytorialnego przypadających do spłaty w danym roku budżetowym, podlegająca doliczeniu zgodnie z art. 244 ustawy </t>
  </si>
  <si>
    <t>Wskaźnik planowanej łącznej kwoty spłaty zobowiązań, o której mowa w art. 243 ust. 1 ustawy do dochodów ogółem, po uwzględnieniu zobowiązań związku współtworzonego przez jednostkę samorządu terytorialnego oraz po uwzględnieniu wyłączeń przypadających na dany rok określonych w pkt 5.1.1.</t>
  </si>
  <si>
    <t>Dopuszczalny wskaźnik spłaty zobowiązań określony w art. 243 ustawy, po uwzględnieniu wyłączeń określonych w art.  36 ustawy z dnia 7 grudnia 2012 r. o zmianie niektórych ustaw związanych z realizacją ustawy budżetowej, obliczony w oparciu o plan 3 kwartałów roku poprzedzającego rok budżetowy</t>
  </si>
  <si>
    <t>Dopuszczalny wskaźnik spłaty zobowiązań określony w art. 243 ustawy, po uwzględnieniu wyłączeń określonych w art.  36 ustawy z dnia 7 grudnia 2012 r. o zmianie niektórych ustaw związanych z realizacją ustawy budżetowej, obliczony w oparciu o wykonanie roku poprzedzającego rok budżetowy</t>
  </si>
  <si>
    <t>Informacja o spełnieniu wskaźnika spłaty zobowiązań określonego w art. 243 ustawy, po uwzględnieniu zobowiązań związku współtworzonego przez jednostkę samorządu terytorialnego oraz po uwzględnieniu wyłączeń określonych w pkt 5.1.1., obliczonego w oparciu o plan 3 kwartałów roku poprzedzającego rok budżetowy</t>
  </si>
  <si>
    <t>Informacja o spełnieniu wskaźnika spłaty zobowiązań określonego w art. 243 ustawy, po uwzględnieniu zobowiązań związku współtworzonego przez jednostkę samorządu terytorialnego oraz po uwzględnieniu wyłączeń określonych w pkt 5.1.1., obliczonego w oparciu o wykonanie roku poprzedzającego rok budżetowy</t>
  </si>
  <si>
    <t>Przeznaczenie prognozowanej nadwyżki budżetowej,  w tym na:</t>
  </si>
  <si>
    <t>Spłaty kredytów, pożyczek i wykup papierów wartościowych</t>
  </si>
  <si>
    <t>Informacje uzupełniające o wybranych rodzajach wydatków budżetowych</t>
  </si>
  <si>
    <t>Wydatki bieżące na wynagrodzenia i składki od nich naliczane</t>
  </si>
  <si>
    <t>Wydatki związane z funkcjonowaniem organów jednostki samorządu terytorialnego</t>
  </si>
  <si>
    <t>Wydatki objęte limitem art. 226 ust. 3 ustawy</t>
  </si>
  <si>
    <t>bieżące</t>
  </si>
  <si>
    <t>majątkowe</t>
  </si>
  <si>
    <t xml:space="preserve">Wydatki inwestycyjne kontynuowane </t>
  </si>
  <si>
    <t>Nowe wydatki inwestycyjne</t>
  </si>
  <si>
    <t xml:space="preserve">Wydatki majątkowe w formie dotacji </t>
  </si>
  <si>
    <t>Finansowanie programów, projektów lub zadań realizowanych z udziałem środków, o których mowa w art. 5 ust. 1 pkt 2 i 3 ustawy</t>
  </si>
  <si>
    <t>Dochody bieżące  na programy, projekty lub zadania finansowane z udziałem środków, o których mowa w art. 5 ust. 1 pkt 2 i 3 ustawy</t>
  </si>
  <si>
    <t xml:space="preserve"> -  w tym środki określone w art. 5 ust. 1 pkt 2 ustawy</t>
  </si>
  <si>
    <t>12.1.1.</t>
  </si>
  <si>
    <t xml:space="preserve"> - w tym środki określone w art. 5 ust. 1 pkt 2 ustawy wynikające wyłącznie z  zawartych umów na realizację programu, projektu lub zadania</t>
  </si>
  <si>
    <t>Dochody majątkowe  na programy, projekty lub zadania finansowane z udziałem środków, o których mowa w art. 5 ust. 1 pkt 2 i 3 ustawy</t>
  </si>
  <si>
    <t xml:space="preserve">  -  w tym środki określone w art. 5 ust. 1 pkt 2 ustawy</t>
  </si>
  <si>
    <t xml:space="preserve"> - w tym środki określone w art. 5 ust. 1 pkt 2 ustawy wynikające wyłącznie z zawartych umów na realizację programu, projektu lub zadania</t>
  </si>
  <si>
    <t>Wydatki bieżące na programy, projekty lub zadania finansowane z udziałem środków, o których mowa w art. 5 ust. 1 pkt 2 i 3 ustawy</t>
  </si>
  <si>
    <t xml:space="preserve">  -  w tym finansowane środkami określonymi w art. 5 ust. 1 pkt 2 ustawy </t>
  </si>
  <si>
    <t xml:space="preserve">Wydatki bieżące na realizację programu, projektu lub zadania wynikające wyłącznie z zawartych umów z podmiotem dysponującym środkami, o których mowa w art. 5 ust. 1 pkt 2 ustawy </t>
  </si>
  <si>
    <t>Wydatki majątkowe na programy, projekty lub zadania finansowane z udziałem środków, o których mowa w art. 5 ust. 1 pkt 2 i 3 ustawy</t>
  </si>
  <si>
    <t xml:space="preserve">  -  w tym finansowane środkami określonymi w art. 5 ust. 1 pkt 2 ustawy</t>
  </si>
  <si>
    <t xml:space="preserve">Wydatki majątkowe na realizację programu, projektu lub zadania wynikające wyłącznie z zawartych umów z podmiotem dysponującym środkami, o których mowa w art. 5 ust. 1 pkt 2 ustawy </t>
  </si>
  <si>
    <t xml:space="preserve">Kwoty dotyczące przejęcia i spłaty zobowiązań po samodzielnych publicznych zakładach opieki zdrowotnej oraz pokrycia ujemnego wyniku </t>
  </si>
  <si>
    <t>Kwota zobowiązań wynikających z przejęcia przez jednostkę samorządu terytorialnego zobowiązań po likwidowanych i przekształcanych samodzielnych zakładach opieki zdrowotnej</t>
  </si>
  <si>
    <t>Dochody budżetowe z tytułu dotacji celowej z budżetu państwa, o której mowa w art. 196 ustawy z  dnia 15 kwietnia 2011 r.  o działalności leczniczej (Dz.U. Nr 112, poz. 654, z późn. zm.)</t>
  </si>
  <si>
    <t>Wysokość zobowiązań podlegających umorzeniu, o którym mowa w art. 190 ustawy o działalności leczniczej</t>
  </si>
  <si>
    <t>Wydatki na spłatę przejętych zobowiązań samodzielnego publicznego zakładu opieki zdrowotnej przekształconego na zasadach określonych w przepisach  o działalności leczniczej</t>
  </si>
  <si>
    <t>Wydatki na spłatę przejętych zobowiązań samodzielnego publicznego zakładu opieki zdrowotnej likwidowanego na zasadach określonych w przepisach  o działalności leczniczej</t>
  </si>
  <si>
    <t>Wydatki na spłatę zobowiązań samodzielnego publicznego zakładu opieki zdrowotnej przejętych do końca 2011 r. na podstawie przepisów o zakładach opieki zdrowotnej</t>
  </si>
  <si>
    <t>Wydatki bieżące na pokrycie ujemnego wyniku finansowego samodzielnego publicznego zakładu opieki zdrowotnej</t>
  </si>
  <si>
    <t>Dane uzupełniające o długu i jego spłacie</t>
  </si>
  <si>
    <t xml:space="preserve"> Spłaty rat kapitałowych oraz wykup papierów wartościowych, o których mowa w pkt. 5.1., wynikające wyłącznie z tytułu zobowiązań już zaciągniętych</t>
  </si>
  <si>
    <t xml:space="preserve"> Kwota długu, którego planowana spłata dokona się z wydatków budżetu</t>
  </si>
  <si>
    <t xml:space="preserve"> Wydatki zmniejszające dług, w tym</t>
  </si>
  <si>
    <t>spłata zobowiązań wymagalnych z lat poprzednich, innych niż w pkt 14.3.3</t>
  </si>
  <si>
    <t>związane z umowami zaliczanymi do tytułów dłużnych wliczanych w państwowy dług publiczny</t>
  </si>
  <si>
    <t>wypłaty z tytułu wymagalnych poręczeń i gwarancji</t>
  </si>
  <si>
    <t xml:space="preserve"> Wynik operacji niekasowych wpływających na kwotę długu  
( m.in. umorzenia, różnice kursowe)</t>
  </si>
  <si>
    <t>1.1.</t>
  </si>
  <si>
    <t>1.1.1.</t>
  </si>
  <si>
    <t>1.1.2.</t>
  </si>
  <si>
    <t>1.1.3.</t>
  </si>
  <si>
    <t>1.1.3.1.</t>
  </si>
  <si>
    <t>1.1.4.</t>
  </si>
  <si>
    <t>1.1.5.</t>
  </si>
  <si>
    <t>1.2.</t>
  </si>
  <si>
    <t>1.2.1.</t>
  </si>
  <si>
    <t>1.2.2.</t>
  </si>
  <si>
    <t>1.</t>
  </si>
  <si>
    <t>2.</t>
  </si>
  <si>
    <t>2.1.</t>
  </si>
  <si>
    <t>2.1.1.</t>
  </si>
  <si>
    <t>2.1.1.1.</t>
  </si>
  <si>
    <t>2.1.2.</t>
  </si>
  <si>
    <t>2.1.3.</t>
  </si>
  <si>
    <t>2.1.3.1.</t>
  </si>
  <si>
    <t>2.2.</t>
  </si>
  <si>
    <t>3.</t>
  </si>
  <si>
    <t>4.</t>
  </si>
  <si>
    <t>4.1.</t>
  </si>
  <si>
    <t>4.1.1.</t>
  </si>
  <si>
    <t>4.2.</t>
  </si>
  <si>
    <t>4.2.1.</t>
  </si>
  <si>
    <t>4.3.</t>
  </si>
  <si>
    <t>4.3.1.</t>
  </si>
  <si>
    <t>4.4.</t>
  </si>
  <si>
    <t>4.4.1.</t>
  </si>
  <si>
    <t>5.</t>
  </si>
  <si>
    <t>5.1.</t>
  </si>
  <si>
    <t>5.1.1.</t>
  </si>
  <si>
    <t>5.1.1.1.</t>
  </si>
  <si>
    <t>5.2.</t>
  </si>
  <si>
    <t>6.</t>
  </si>
  <si>
    <t>6.1.</t>
  </si>
  <si>
    <t>6.1.1.</t>
  </si>
  <si>
    <t>6.2.</t>
  </si>
  <si>
    <t>6.3.</t>
  </si>
  <si>
    <t>7.</t>
  </si>
  <si>
    <t>8.</t>
  </si>
  <si>
    <t>8.1.</t>
  </si>
  <si>
    <t>8.2.</t>
  </si>
  <si>
    <t>9.</t>
  </si>
  <si>
    <t>9.1.</t>
  </si>
  <si>
    <t>9.2.</t>
  </si>
  <si>
    <t>9.3.</t>
  </si>
  <si>
    <t>9.4.</t>
  </si>
  <si>
    <t>9.5.</t>
  </si>
  <si>
    <t>9.6.</t>
  </si>
  <si>
    <t>9.7.</t>
  </si>
  <si>
    <t>9.7.1.</t>
  </si>
  <si>
    <t>9.8.</t>
  </si>
  <si>
    <t>9.8.1.</t>
  </si>
  <si>
    <t>10.</t>
  </si>
  <si>
    <t>10.1.</t>
  </si>
  <si>
    <t>11.</t>
  </si>
  <si>
    <t>11.1.</t>
  </si>
  <si>
    <t>11.2.</t>
  </si>
  <si>
    <t>11.3.</t>
  </si>
  <si>
    <t>11.3.1.</t>
  </si>
  <si>
    <t>11.3.2.</t>
  </si>
  <si>
    <t>11.4.</t>
  </si>
  <si>
    <t>11.5.</t>
  </si>
  <si>
    <t>11.6.</t>
  </si>
  <si>
    <t>12.</t>
  </si>
  <si>
    <t>12.1.</t>
  </si>
  <si>
    <t>12.2.</t>
  </si>
  <si>
    <t>12.2.1.</t>
  </si>
  <si>
    <t>12.2.1.1.</t>
  </si>
  <si>
    <t>12.3.</t>
  </si>
  <si>
    <t>12.3.1.</t>
  </si>
  <si>
    <t>12.3.2.</t>
  </si>
  <si>
    <t>12.4.</t>
  </si>
  <si>
    <t>12.4.1.</t>
  </si>
  <si>
    <t>12.4.2.</t>
  </si>
  <si>
    <t>13.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</si>
  <si>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</si>
  <si>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</si>
  <si>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</si>
  <si>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</si>
  <si>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</si>
  <si>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</si>
  <si>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</si>
  <si>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</si>
  <si>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 xml:space="preserve">Inne rozchody nie związane ze spłatą długu </t>
  </si>
  <si>
    <t>TAK</t>
  </si>
  <si>
    <t>z tytułu poręczeń i gwarancji</t>
  </si>
  <si>
    <t>na spłatę przejętych zobowiązań samodzielnego publicznego zakładu opieki zdrowotnej przekształconego na zasadach określonych w przepisach o działalności leczniczej, w wysokości w jakiej nie podlegają sfinansowaniu dotacją z budżetu państwa</t>
  </si>
  <si>
    <t>wydatki na obsługę długu</t>
  </si>
  <si>
    <t>w tym odsetki i dyskonto określone w art. 243 ust. 1 ustawy lub art.. 169 ust. 1 ufp z 2005 r.</t>
  </si>
  <si>
    <t>Łączna kwota wyłączeń z ograniczeń długu określonych w art. 170 ust. 3 ufp z 2005 r. oraz w art. 36 ustawy o zmianie niektórych ustaw związanych z realizacją ustawy budżetowej, w tym:</t>
  </si>
  <si>
    <t>Kwota zobowiązań wynikających z przejęcia przez jednostkę samorządu terytorialnego zobowiązań po likwidowanych i przekształcanych jednostkach zaliczanych do sektora finansów publicznych</t>
  </si>
  <si>
    <t>dochody z tytułu udziału we wpływach z podatku dochodowego od osób fizycznych</t>
  </si>
  <si>
    <t>w tym: gwarancje i poręczenia polegające wyłączeniu z limitów spłaty zobowiązań określonych w art. 243 ust.3 pkt 2 ustawy z dnia 27 sierpnia 2009 r. o finansach publicznych (Dz.U. Nr 157, poz. 1240, z późn. zm.) lub art. 169 ust.3 pkt 2 ustawy z dnia 30 czerwca 2005 r. o finansach publicznych (Dz.U. Nr 249, poz. 2104, z późn. zm.)</t>
  </si>
  <si>
    <t>Wskaźnik zadłużenia do dochodów ogółem określony w art. 170 ust. 3 ufp z 2005 r., bez uwzględnienia wyłączeń określonych w pkt 6.1</t>
  </si>
  <si>
    <t>Wskaźnik zadłużenia do dochodów ogółem określony w art. 170 ust. 3 ufp z 2005 r., po uwzględnieniu wyłączeń określonych w pkt 6.1</t>
  </si>
  <si>
    <t>Wskaźnik planowanej łącznej kwoty spłaty zobowiązań, o której mowa w art. 169 ust. 1 ufp z 2055 r. do dochodów ogółem bez uwzględnienia wyłaczeń o których mowa w pkt 5.1.1.</t>
  </si>
  <si>
    <t>Wskaźnik planowanej łącznej kwoty spłaty zobowiązań, o której mowa w art. 169 ust. 1 ufp z 2055 r. do dochodów ogółem po uwzględnieniu wyłaczeń przypadających na dany rok określonych w pkt 5.1.1</t>
  </si>
  <si>
    <t>Załącznik  Nr 1a do Uchwały Nr ……/……./13                     
Sejmiku Województwa Podkarpackiego
 z dnia……………………2013 r.</t>
  </si>
  <si>
    <t>Załącznik Nr 2 
do projektu Uchwały Nr     /      / 13                     
Sejmiku Województwa Podkarpackiego
 z dnia                               2013r.</t>
  </si>
  <si>
    <t>Lp</t>
  </si>
  <si>
    <t>Nazwa przedsięwzięcia</t>
  </si>
  <si>
    <t>Cel przedsięwzięcia</t>
  </si>
  <si>
    <t>Jednostka odpowiedzialna lub koordynująca</t>
  </si>
  <si>
    <t>Okres realizacji</t>
  </si>
  <si>
    <t>Łączne nakłady finansowe (ujęte w WPF)</t>
  </si>
  <si>
    <t>limit zobowiązań</t>
  </si>
  <si>
    <t>od</t>
  </si>
  <si>
    <t>do</t>
  </si>
  <si>
    <t>Wydatki na przedsięwzięcia - ogółem (1.1 + 1.2 +1.3)</t>
  </si>
  <si>
    <t>1.a</t>
  </si>
  <si>
    <t xml:space="preserve"> - wydatki bieżące</t>
  </si>
  <si>
    <t>1.b</t>
  </si>
  <si>
    <t xml:space="preserve"> - wydatki majątkowe</t>
  </si>
  <si>
    <t>Wydatki na programy, projekty lub zadania związane z programami realizowanymi z udziałem środków, o których mowa w art. 5 ust. 1 pkt 2 i 3 ustawy z dnia 27 sierpnia 2009 r. o finansach publicznych (DZ. U. Nr 157, poz. 1240, z późn. zm.)</t>
  </si>
  <si>
    <t>1.3.1.1</t>
  </si>
  <si>
    <t xml:space="preserve">Pomoc techniczna realizowana w ramach Programu Rozwoju Obszarów Wiejskich  na lata 2007 - 2013. </t>
  </si>
  <si>
    <t>Departament Programów Rozwoju Obszarów Wiejskich realizuje zadania własne w ramach trzech schematów Pomocy technicznej PROW 2007 - 2013.  Celem realizacji PT jest wsparcie systemu zarządzania, promowania i informowania o PROW. Zabezpieczenie środków na ten cel jest warunkiem niezbędnym do realizacji przez Departament PROW niezbędnych działań związanych z wdrażaniem PROW 2007-2013. Zadania Departamentu w tym zakresie są wynikiem realizacji obowiązków Samorządu Województwa Podkarpackiego zapisanych w ustawie z dnia 7 marca 2007 roku o wspieraniu rozwoju obszarów wiejskich (Dz.U. nr 64 poz 427 z późn. zm.) oraz wynikają z umowy nr 11/BZD-UM09/2009 zawartej w dniu 29 stycznia 2009r. pomierzy SW i ARiMR.</t>
  </si>
  <si>
    <t xml:space="preserve">Urząd Marszałkowski Województwa Podkarpackiego </t>
  </si>
  <si>
    <t>1.3.1.2</t>
  </si>
  <si>
    <t xml:space="preserve">Pomoc techniczna realizowana w ramach Programu Operacyjnego „Zrównoważony rozwój sektora rybołówstwa i nadbrzeżnych obszarów rybackich 2007-2013" </t>
  </si>
  <si>
    <t>Oddział wdrażania PO RYBY 2007-2013 Departamentu Programów Rozwoju Obszarów Wiejskich realizuje zadania własne w ramach trzech schematów Pomocy technicznej PO RYBY 2007 - 2013.  Celem realizacji PT jest wsparcie systemu zarządzania, promowania i informowania o PO RYBY 2007 - 2013. Zabezpieczenie środków na ten cel jest warunkiem niezbędnym do realizacji przez Oddział  PO RYBY  niezbędnych działań związanych z wdrażaniem PO RYBY 2007 - 2013. Zadania Oddziału w tym zakresie są wynikiem realizacji obowiązków Samorządu Województwa Podkarpackiego zapisanych w Rozporządzeniu Ministra Rolnictwa i Rozwoju Wsi z dn. 29 września 2009r  w sprzwie warunków i sposobu wykonywania zadań instytucji zarządzającej przez samorząd województwa</t>
  </si>
  <si>
    <t>1.3.1.3</t>
  </si>
  <si>
    <t xml:space="preserve">Centrum Obsługi Inwestorów i Eksporterów w Wojew. Podkarpackim, Program Operacyjny Innowacyjna Gospodarka, Działanie 6.2 Rozwój sieci centrów obsługi inwestorów i eksporterów oraz powstanie nowych terenów inwestycyjnych </t>
  </si>
  <si>
    <t>Utworzenie Centrum Obsługi Inwestorów i Eksporterów w Województwie Podkarpackim</t>
  </si>
  <si>
    <t>1.3.1.4</t>
  </si>
  <si>
    <t>"Zakup pojazdów szynowych na potrzeby kolejowych przewozów osób w województwie podkarpackim", RPO WP na lata 2007-2013, Działanie 2.1 Infrastruktura komunikacyjna Schemat E: Infrastruktura kolejowa</t>
  </si>
  <si>
    <t>Poprawa dostępności i jakości podróżowania</t>
  </si>
  <si>
    <t>1.3.1.5</t>
  </si>
  <si>
    <t xml:space="preserve">Sieć Szerokopasmowa Polski Wschodniej - Województwo Podkarpackie </t>
  </si>
  <si>
    <t>Zbudowanie w województwie podkarpackim nowoczesnej infrastruktury publicznej bazującej na technologiach informatycznych</t>
  </si>
  <si>
    <t>1.3.1.6</t>
  </si>
  <si>
    <t xml:space="preserve">PSeAP - Podkarpacki System e-Administracji Publicznej </t>
  </si>
  <si>
    <t>Uruchomienie w skali województwa jednorodnego systemu obiegu dokumentów i zarządzania sprawami oraz zdalnych usług</t>
  </si>
  <si>
    <t xml:space="preserve">          </t>
  </si>
  <si>
    <t>1.3.1.7</t>
  </si>
  <si>
    <t xml:space="preserve">Podkarpacki System Informacji Medycznej” "PSIM" </t>
  </si>
  <si>
    <t>Uruchomienie w skali województwa spójnego systemu wspierającego zarządzanie i funkcjonowanie opieki zdrowotnej w placówkach służby zdrowia</t>
  </si>
  <si>
    <t>1.3.1.8</t>
  </si>
  <si>
    <t xml:space="preserve">Projekty pomocy technicznej - RPO WP </t>
  </si>
  <si>
    <t>Zapewnienie prawidłowej obsługi wdrażania RPO WP</t>
  </si>
  <si>
    <t>1.3.1.9</t>
  </si>
  <si>
    <t xml:space="preserve">System Informacji o Funduszach Europejskich- Program Operacyjny Pomoc Techniczna </t>
  </si>
  <si>
    <t>Realizacja zadania polegająca na prowadzeniu Głównego Punktu Informacyjnego przy Urzędzie Marszałkowskim Województwa Podkarpackiego oraz koordynacja, promocja, monitoring, kontrola oraz ocena działalności sieci Lokalnych Punktów Informacyjnych -Program Operacyjny Pomoc Techniczna</t>
  </si>
  <si>
    <t>Urząd Marszałkowski Województwa Podkarpackiego</t>
  </si>
  <si>
    <t>1.3.1.10</t>
  </si>
  <si>
    <t>Projekt 1031 R4 TOURAGE</t>
  </si>
  <si>
    <t>Wzmocnienie regionalnych gospodarek poprzez rozwój turystyki seniorów oraz wsparcie dla rozwiązań umożliwiających aktywne i zdrowe starzenie się, poprzez wymianę dobrych praktyk i doświadczeń pomiędzy regionami partnerskimi</t>
  </si>
  <si>
    <t>1.3.1.11</t>
  </si>
  <si>
    <t>Projekt 1130 R4 MOG</t>
  </si>
  <si>
    <t>Stworzenie dokumentu "przewodnika" odnoszącego się do problematyki zrównoważonego transportu na obszarach wiejskich</t>
  </si>
  <si>
    <t>1.3.1.12</t>
  </si>
  <si>
    <t>Projekt pn. Edukacja skuteczna, przyjazna, nowoczesna - rozwój kompetencji kadry zarządzającej i pedagogicznej szkół i placówek oświatowych w województwie podkarpackim realizowanym w ramach Programu Operacyjnego Kapitał Ludzki, Priorytet IX Rozwój wykształcenia i kompetencji w regionach, działanie 9.4 Wysoko wykwalifikowane kadry systemu oświaty</t>
  </si>
  <si>
    <t>Dostosowanie kompetencji i kwalifikacji nauczycieli i kadry zarządzającej województwa podkarpackiego do wymagań nowej podstawy programowej przez przeszkolenie 5000 nauczycieli (w tym kadry zarządzającej)</t>
  </si>
  <si>
    <t xml:space="preserve">Podkarpackie Centrum Edukacji Nauczycieli w Rzeszowie </t>
  </si>
  <si>
    <t>1.3.1.13</t>
  </si>
  <si>
    <t>"Podkarpacie stawia na zawodowców" - Projekt systemowy</t>
  </si>
  <si>
    <t>Wzmocnienie atrakcyjności i podniesienie jakości oferty edukacyjnej szkół i placówek oświatowych prowadzących kształcenie zawodowe (z wyłączeniem kształcenia osób dorosłych), służące podniesieniu zdolności uczniów do przyszłego zatrudnienia</t>
  </si>
  <si>
    <t>Wojewódzki Urząd Pracy w Rzeszowie</t>
  </si>
  <si>
    <t>1.3.1.14</t>
  </si>
  <si>
    <t xml:space="preserve">Szwajcarsko Polski Program Współpracy </t>
  </si>
  <si>
    <t>Zmniejszenie różnic społeczno - gospodarczych istniejących pomiędzy Polską a wyżej rozwiniętymi państwami UE oraz różnic na terytorium Polski pomiędzy ośrodkami miejskimi a regionami słabo rozwiniętymi pod względem strukturalnym</t>
  </si>
  <si>
    <t>Regionalny Ośrodek Polityki Społecznej w Rzeszowie, ul. Hetmańska 120</t>
  </si>
  <si>
    <t>1.3.1.15</t>
  </si>
  <si>
    <t>Projekt pn: Technologie cyfrowe jako systemowe narzędzie wspomagające realizację programów rozwojowych oraz podnoszące jakość i atrakcyjność oferty edukacyjnej szkół Podkarpacia realizowany w ramach Programu Operacyjnego Kapitał Ludzki, Priorytet IX Rozwój wykształcenia i kompetencji w regionach, działanie 9.1. Wyrównywanie szans edukacyjnych i zapewnienie jakości usług edukacyjnych świadczonych w systemie oświaty, Poddziałanie 9.1.2 Wyrównywanie szans edukacyjnych uczniów z grup o utrudnionym dostępie do edukacji oraz zmniejszanie różnic w jakości usług edukacyjnych</t>
  </si>
  <si>
    <t>Stworzenie warunków równych szans edukacyjnych poprzez udzielenie wsparcia na rzecz instytucji systemu oświaty oraz osób potykających na bariery o charakterze środowiskowym, ekonomicznym, geograficznym i zdrowotnym utrudniające dostęp do usług edukacyjnych</t>
  </si>
  <si>
    <t>1.3.1.16</t>
  </si>
  <si>
    <t xml:space="preserve">Program Operacyjny Kapitał Ludzki - Pomoc Techniczna </t>
  </si>
  <si>
    <t>Zapewnienie prawidłowej obsługi wdrażania POKL</t>
  </si>
  <si>
    <t>1.1.2.1</t>
  </si>
  <si>
    <t>Budowa zbiornika retencyjnego w miejscowości Borowa Góra, woj. podkarpackie</t>
  </si>
  <si>
    <t xml:space="preserve"> Budowa 1 zbiornika retencyjnego w Borowej Górze. Zabezpieczenie ludności, mienia i gospodarki przed negatywnymi skutkami powodzi i zapewnienie trwałości projektu. 
Program Rozwoju Obszarów Wiejskich</t>
  </si>
  <si>
    <t xml:space="preserve">Podkarpacki Zarząd Melioracji i Urządzeń Wodnych 
</t>
  </si>
  <si>
    <t>1.1.2.2</t>
  </si>
  <si>
    <t>"Wisłoka – Boża Wola – rozbudowa lewego wału Wisłoki w km 4+115 -6+737 oraz w km 0+000-0+230 wraz z budową obustronnych wałów cofkowych na potoku Kiełkowskim o długości 150 m". Zadanie ujęte w ramach zlewni: Ochrona przed powodzią w zlewni Wisłoki, w tym budowa zbiorników retencyjnych Kąty-Myscowa oraz Dukla</t>
  </si>
  <si>
    <t xml:space="preserve">Rozbudowa (2,732 km) i budowa obustronnego obwałowania  lewego wału rzeki Wisłoki na dł. 0,42 km. Zabezpieczenie ludności, mienia i gospodarki przed negatywnymi skutkami powodzi i zapewnienie trwałości projektu. Program Rozwoju Obszarów Wiejskich
</t>
  </si>
  <si>
    <t xml:space="preserve">Podkarpaci Zarząd Melioracji i Urządzeń Wodnych </t>
  </si>
  <si>
    <t>1.1.2.3</t>
  </si>
  <si>
    <t>"Odbudowa potoku Lubcza w km 2+640-6+675 na długości 4,035 km oraz udrożnienie koryta potoku Lubcza w rejonie 4 stopni betonowych w km 0+400; 1+280; 7+050; 7+700 w mieście Rzeszów – Zwięczyca II, oraz w miejscowościach: Racławówka, Niechobrz, Boguchwała, gm. Boguchwała, woj. podkarpackie".  Zadanie ujęte w ramach zlewni: Ochrona przed powodzią w zlewni rzeki Wisłok, w tym budowa zbiornika retencyjnego Rudawka Rymanowska i zabezpieczenie przed powodzią miasta Krosno</t>
  </si>
  <si>
    <t>Odbudowa na dł. 4,035 km. i udrożnienie koryta potoku Lubcza w rejonie 4 stopni betonowych. Zabezpieczenie ludności, mienia i gospodarki przed negatywnymi skutkami powodzi i zapewnienie trwałości projektu. Program Rozwoju Obszarów Wiejskich</t>
  </si>
  <si>
    <t>1.1.2.4</t>
  </si>
  <si>
    <t xml:space="preserve"> "Nowy Breń II - rozbudowa i przeciwfiltracyjne zabezpieczenie prawego wału rzeki Nowy Breń w km 2+487-4+319, na długości 1,832 km w miejscowościach: Słupiec, Ziempniów i Otałęż".  
Zadanie ujęte w ramach zlewni: Zabezpieczenie przed zagrożeniem powodziowym doliny Wisły na odcinku od ujścia Dunajca do ujścia Wisłoki</t>
  </si>
  <si>
    <t>Rozbudowa i przeciwfiltracyjne zabezpieczenie prawego wału rzeki Nowy Breń na dł. 1,832 km. Zabezpieczenie ludności, mienia i gospodarki przed negatywnymi skutkami powodzi i zapewnienie trwałości projektu. Program Rozwoju Obszarów Wiejskich</t>
  </si>
  <si>
    <t>1.1.2.5</t>
  </si>
  <si>
    <t xml:space="preserve">"San I Etap I - rozbudowa i przeciwfiltracyjne zabezpieczenie prawego wału rzeki San w km 2+215 - 9+417, na długości 7,202 km, na terenie gminy Radomyśl nad Sanem, woj. podkarpackie". Zadanie ujęte w ramach zlewni: Zabezpieczenie przed zagrożeniem powodziowym doliny Wisły na odcinku od ujścia Wisłoki do ujścia Sanny </t>
  </si>
  <si>
    <t>Rozbudowa i przeciwfiltracyjne zabezpieczenie prawego wału rzeki San na dł. 7,202 km. Zabezpieczenie ludności, mienia i gospodarki przed negatywnymi skutkami powodzi i zapewnienie trwałości projektu. Program Rozwoju Obszarów Wiejskich</t>
  </si>
  <si>
    <t>1.1.2.6</t>
  </si>
  <si>
    <t>Ochrona przed powodzią aglomeracji Rzeszów</t>
  </si>
  <si>
    <t xml:space="preserve"> Ochrona przeciwpowodziowa aglomeracji Rzeszów Program Operacyjny Infratsruktura i Środowisko 2007 - 2013 </t>
  </si>
  <si>
    <t>1.1.2.7</t>
  </si>
  <si>
    <t>Zaprojektowanie i budowa lewostronnego obwałowania rzeki Wisłoki w km 53+800-55+600 w miejscowościach: Zawierzbie, Żyraków, na terenie gminy Żyraków, województwo podkarpackie</t>
  </si>
  <si>
    <t xml:space="preserve"> Zapewnienie bezpieczeństwa przeciwpowodziowego na odcinku 53+800-55+600 rzeki Wisłoki w miejscowościach Zawierzbie oraz Żyraków Regionalny Program Operacyjny Województwa Podkarpackiego 2007 – 2013</t>
  </si>
  <si>
    <t xml:space="preserve">Podkarpacki Zarząd Melioracji i Urządzeń Wodnych </t>
  </si>
  <si>
    <t>1.1.2.8</t>
  </si>
  <si>
    <t>Zaprojektowanie i budowa suchego zbiornika przeciwpowodziowego (polderu przepływowego) pn. "Kańczuga" na rzece Mleczka Kańczudzka na terenie gminy Jawornik Polski oraz miasta i gminy Kańczuga</t>
  </si>
  <si>
    <t xml:space="preserve">Zapewnienie ochrony przeciwpowodziowej miejscowościom położonym poniżej planowanego zbiornika suchego wzdłuż rzeki Mleczki Kańczudzkiej 
a następnie rzeki Mleczki Regionalny Program Operacyjny Województwa Podkarpackiego 2007 – 2013
</t>
  </si>
  <si>
    <t>1.1.2.9</t>
  </si>
  <si>
    <t>1.1.2.10</t>
  </si>
  <si>
    <t>1.1.2.11</t>
  </si>
  <si>
    <t>1.1.2.12</t>
  </si>
  <si>
    <t>"Zakup taboru kolejowego do obsługi połączeń międzywojewódzkich realizowanych przez województwa: małopolskie, podkarpackie, śląskie, świętokrzyskie", POIiŚ na lata 2007-2013 Działanie 7.1 Rozwój Transportu Kolejowego</t>
  </si>
  <si>
    <t>1.1.2.13</t>
  </si>
  <si>
    <t>Rozbudowa dr. woj. Nr 855 Olbięcin - Zaklików - Stalowa Wola odc. Granica Województwa - Stalowa Wola</t>
  </si>
  <si>
    <t xml:space="preserve"> Cele "Infrastruktura techniczna i informatyczna"  Poprawa dostępności i jakości infrastruktury transportowe</t>
  </si>
  <si>
    <t xml:space="preserve">Podkarpacki Zarząd Dróg Wojewódzkich w Rzeszowie </t>
  </si>
  <si>
    <t>1.1.2.14</t>
  </si>
  <si>
    <t xml:space="preserve">Rozbudowa dr. woj. Nr  880 Jarosław - Pruchnik </t>
  </si>
  <si>
    <t>Cele "Infrastruktura techniczna i informatyczna"  Poprawa dostępności i jakości infrastruktury transportowej</t>
  </si>
  <si>
    <t>1.1.2.15</t>
  </si>
  <si>
    <t>Rozbudowa drogi wojewódzkiej Nr 869 łączącej węzeł A-4 Rzeszów Zachodni z węzłem S-19 Jasionka, połączonej w sposób bezkolizyjny z istniejącymi drogami krajowymi Nr 9 Radom - Barwinek i Nr 19 Kuźnica - Rzeszów i linią kolejową L-71</t>
  </si>
  <si>
    <t>1.1.2.16</t>
  </si>
  <si>
    <t xml:space="preserve">Likwidacja barier rozwojowych - most na Wiśle z rozbudową drogi wojewódzkiej Nr 764 oraz połączeniem z drogą wojewódzką Nr 875 </t>
  </si>
  <si>
    <t>Stworzenie dogodnych powiązań komunikacyjnych województw Polski Wschodniej</t>
  </si>
  <si>
    <t>1.1.2.17</t>
  </si>
  <si>
    <t>Budowa drogi obwodowej Mielca w ciągu drogi wojewódzkiej nr 985 Nagnajów - Dębica przebiegającej od miejscowości Tuszów Narodowy w km 20+636 do ulicy Dębickiej w km 38+522 wraz z niezbędną infrastrukturą techniczną, budowlami i urządzeniami budowlanymi</t>
  </si>
  <si>
    <t>1.1.2.18</t>
  </si>
  <si>
    <t>Trasy rowerowe w Polsce Wschodniej</t>
  </si>
  <si>
    <t>Kompleksowy projekt zakładający utworzenie ponadregionalnej trasy rowerowej w pięciu województwach Polski Wschodniej</t>
  </si>
  <si>
    <t>1.1.2.19</t>
  </si>
  <si>
    <t>1.1.2.20</t>
  </si>
  <si>
    <t>1.1.2.21</t>
  </si>
  <si>
    <t>1.1.2.22</t>
  </si>
  <si>
    <t>1.1.2.23</t>
  </si>
  <si>
    <t>1.1.2.24</t>
  </si>
  <si>
    <t>Budowa Centrum Wystawienniczo - Kongresowego Województwa Podkarpackiego</t>
  </si>
  <si>
    <t>Funkcjonowanie centrum jako ośrodka wspomagającego wdrażanie programów i projektów służących wzrostowi konkurencyjności i atrakcyjności regionów Polski Wschodniej</t>
  </si>
  <si>
    <t>1.1.2.25</t>
  </si>
  <si>
    <t>1.1.2.26</t>
  </si>
  <si>
    <t>1.1.2.27</t>
  </si>
  <si>
    <t>Wydatki na programy, projekty lub zadania związane z umowami partnerstwa publiczno - prywatnego; z tego:</t>
  </si>
  <si>
    <t>1.3.</t>
  </si>
  <si>
    <t>Wydatki na programy, projekty lub zadania pozostałe (inne niż wymienione w pkt 1.1 i 1.2), z tego:</t>
  </si>
  <si>
    <t>1.3.1.</t>
  </si>
  <si>
    <t>Utrzymanie urządzeń  melioracji wodnych podstawowych - rzek Szuwarka - Gołębiówka i Świerkowiec</t>
  </si>
  <si>
    <t>Zabezpieczenie ludności, mienia i gospodarki przed negatywnymi skutkami powodzi i zapewnienie trwałości projektu</t>
  </si>
  <si>
    <t>Podkarpacki Zarząd Melioracji i Urządzeń Wodnych w Rzeszowie</t>
  </si>
  <si>
    <t>Program Operacyjny Kapitał Ludzki, Priorytety VI-IX (z wyłączeniem projektu własnego WUP w ramach Poddziałania 8.1.4 PO KL oraz działania 9.2 PO KL)</t>
  </si>
  <si>
    <t>Program Operacyjny Kapitał Ludzki, Priorytety VI-IX - dotacje dla beneficjentów programu</t>
  </si>
  <si>
    <t xml:space="preserve">Wojewódzki Urząd Pracy </t>
  </si>
  <si>
    <r>
      <t>RPO WP na lata 2007-2013 - Oś I ÷</t>
    </r>
    <r>
      <rPr>
        <sz val="10.45"/>
        <rFont val="Calibri"/>
        <family val="2"/>
        <charset val="238"/>
        <scheme val="minor"/>
      </rPr>
      <t xml:space="preserve"> VII</t>
    </r>
  </si>
  <si>
    <t>RPO WP na lata 2007-2013 - Oś I ÷ VII  - dotacje dla beneficjentów programu</t>
  </si>
  <si>
    <t xml:space="preserve">Utrzymanie zespołów trakcyjnych </t>
  </si>
  <si>
    <t xml:space="preserve">Utrzymanie zespołów trakcyjnych POliŚ </t>
  </si>
  <si>
    <t>Zimowe utrzymanie dróg Zimowe utrzymanie dróg</t>
  </si>
  <si>
    <t>Tworzenie opracowań kartograficznych na podstawie bazy danych obiektów topograficznych (BDOT10k) z terenu województwa podkarpackiego</t>
  </si>
  <si>
    <t>Mapy topograficzne dla obszaru województwa podkarpackiego</t>
  </si>
  <si>
    <t xml:space="preserve">Wojewódzki Ośrodek Dokumentacji Geodezyjnej i Kartograficznej w Rzeszowie </t>
  </si>
  <si>
    <t xml:space="preserve">Promocja Województwa Podkarpackiego przy wykorzystaniu działalności przewoźników lotniczych, jako platformy nowoczesnego systemu  przekazywania informacji o regionie </t>
  </si>
  <si>
    <t xml:space="preserve">Promocja Województwa Podkarpackiego </t>
  </si>
  <si>
    <t>Promocja gospodarcza i turystyczna Województwa Podkarpackiego za pośrednictwem przewoźnika lotniczego w Europie</t>
  </si>
  <si>
    <t xml:space="preserve">Pogram wspierania edukacji uzdolnionej młodzieży "Nie zagubić talentu" - stypendia. </t>
  </si>
  <si>
    <t>Wspieranie edukacji młodzieży z województwa podkarpackiego</t>
  </si>
  <si>
    <t xml:space="preserve">Wojewódzki Program Pomocy Społecznej </t>
  </si>
  <si>
    <t>Łagodzenie skutków ubóstwa</t>
  </si>
  <si>
    <t xml:space="preserve">Wojewódzki Program Na Rzecz Wyrównywania Szans Os. Niepełn. i Przeciwdz. Ich Wykluczeniu Społ. Na lata 2008-2020 </t>
  </si>
  <si>
    <t>Wyrównywanie szans osób niepełnosprawnych</t>
  </si>
  <si>
    <t>1.3.2.</t>
  </si>
  <si>
    <t>1.3.2.1</t>
  </si>
  <si>
    <t>1.3.2.2</t>
  </si>
  <si>
    <t>1.3.2.3</t>
  </si>
  <si>
    <t xml:space="preserve">Zakup pojazdów szynowych </t>
  </si>
  <si>
    <t>Zakup pojazdów szynowych na potrzeby kolejowych przewozów pasażerskich - poprawa dostępności i jakości podróżowania</t>
  </si>
  <si>
    <t>1.3.2.4</t>
  </si>
  <si>
    <t xml:space="preserve">Przygotowanie i realizacja budowy  północnej obwodnicy miasta Sokołowa Małopolskiego, celem dodatkowego skomunikowania z drogą wojewódzką Nr 875 Mielec – Kolbuszowa – Sokołów Małopolski – Leżajsk </t>
  </si>
  <si>
    <t>1.3.2.5</t>
  </si>
  <si>
    <t>Opracowanie dokumentacji projektowych i uzyskanie decyzji o zezwoleniu na realizację inwestycji drogowych</t>
  </si>
  <si>
    <t>Poprawa powiązań komunikacyjnych i systemu komunikacji publicznej w województwie</t>
  </si>
  <si>
    <t>1.3.2.6</t>
  </si>
  <si>
    <t xml:space="preserve">Muzeum Polaków ratujących Żydów na Podkarpaciu im. Rodziny Ulmów w Markowej </t>
  </si>
  <si>
    <t>Muzeum Polaków ratujących Żydów na Podkarpaciu im. Rodziny Ulmów w Markowej</t>
  </si>
  <si>
    <t xml:space="preserve">Muzeum-Zamek w Łańcucie </t>
  </si>
  <si>
    <t>kończące się w 2013r</t>
  </si>
  <si>
    <t>Przedsięwzięcia ogółem</t>
  </si>
  <si>
    <t>Załącznik Nr 2 do uzasadnienia do projektu Uchwały                      
Sejmiku Województwa Podkarpackiego
 w sprawie zmian WPF - marzec</t>
  </si>
  <si>
    <t>Klasyfikacja Dział - Rozdział</t>
  </si>
  <si>
    <t>1) programy, projekty lub zadania (razem)</t>
  </si>
  <si>
    <t>a) programy, projekty lub zadania związane z programami realizowanymi z udziałem środków, o których mowa w art. 5 ust. 1 pkt 2 i 3, (razem)</t>
  </si>
  <si>
    <t>2013 - 2014</t>
  </si>
  <si>
    <t>010 - 01008</t>
  </si>
  <si>
    <t xml:space="preserve"> - wydatki majątkowe, z tego</t>
  </si>
  <si>
    <t>Budżet Unii Europejskiej</t>
  </si>
  <si>
    <t>Budżet Państwa</t>
  </si>
  <si>
    <t>2011 - 2015</t>
  </si>
  <si>
    <t xml:space="preserve">010 - 01008    </t>
  </si>
  <si>
    <t>2006 - 2014</t>
  </si>
  <si>
    <t>2008 - 2014</t>
  </si>
  <si>
    <t>010 - 01008 010 - 01078</t>
  </si>
  <si>
    <t>2010 - 2014</t>
  </si>
  <si>
    <t>010 - 01008    010 - 01078</t>
  </si>
  <si>
    <t>2009 - 2014</t>
  </si>
  <si>
    <t>2010 - 2015</t>
  </si>
  <si>
    <t>010 - 01041</t>
  </si>
  <si>
    <t xml:space="preserve"> - wydatki bieżące, z tego</t>
  </si>
  <si>
    <t>Budżet Woj. Podkarpackiego</t>
  </si>
  <si>
    <t>2009 - 2015</t>
  </si>
  <si>
    <t>050 - 05011</t>
  </si>
  <si>
    <t>2010 - 2020</t>
  </si>
  <si>
    <t>500 - 50005</t>
  </si>
  <si>
    <t>2011 - 2014</t>
  </si>
  <si>
    <t>600 - 60001</t>
  </si>
  <si>
    <t>Inne</t>
  </si>
  <si>
    <t>600 - 60013</t>
  </si>
  <si>
    <t>2012 - 2015</t>
  </si>
  <si>
    <t>2012 - 2014</t>
  </si>
  <si>
    <t>630 - 63095</t>
  </si>
  <si>
    <t>720 - 72095</t>
  </si>
  <si>
    <t>2009 - 2018</t>
  </si>
  <si>
    <t>750 - 75018</t>
  </si>
  <si>
    <t>750 - 75095</t>
  </si>
  <si>
    <t>801 - 80146</t>
  </si>
  <si>
    <t>801 - 80195</t>
  </si>
  <si>
    <t>852 - 85295</t>
  </si>
  <si>
    <t>853 - 85332</t>
  </si>
  <si>
    <t>b) programy, projekty lub zadania związane z umowami partnerstwa publiczno - prywatnego; (razem)</t>
  </si>
  <si>
    <t>c) programy, projekty lub zadania pozostałe (inne niż wymienione w lit. a i b) (razem)</t>
  </si>
  <si>
    <t xml:space="preserve">150 - 15011     150 - 15013             801 - 80146     801 - 80195            852 - 85218     852 - 85219       852 - 85295       853 - 85395  854 -85415      854 -85495     </t>
  </si>
  <si>
    <t>150 - 15011  400 - 40001  400 - 40003  400 - 40095
720 - 72095 750 - 75095    851 - 85115
803 - 80306 921 - 92120 921 - 92195
926 - 92695</t>
  </si>
  <si>
    <t>2013 - 2017</t>
  </si>
  <si>
    <t>2015 - 2020</t>
  </si>
  <si>
    <t>2012 - 2018</t>
  </si>
  <si>
    <t>Inne źródła</t>
  </si>
  <si>
    <t>2012- 2015</t>
  </si>
  <si>
    <t>710 - 71013</t>
  </si>
  <si>
    <t>750 - 75075</t>
  </si>
  <si>
    <t>2012 - 2017</t>
  </si>
  <si>
    <t>2008 - 2025</t>
  </si>
  <si>
    <t>852 - 85217</t>
  </si>
  <si>
    <t>2011 - 2020</t>
  </si>
  <si>
    <t>853 - 85311</t>
  </si>
  <si>
    <t>921 - 92118</t>
  </si>
  <si>
    <t xml:space="preserve"> </t>
  </si>
  <si>
    <t>Wydatki inwestycyjne kontynuowane (aktualne - dotacje)</t>
  </si>
  <si>
    <t>Aktualne w WPF na 2013r.</t>
  </si>
  <si>
    <t>Nowe wydatki inwetycyjne w WPF</t>
  </si>
  <si>
    <t>Dotacje majatkowe</t>
  </si>
  <si>
    <t>Centrum kongresowe…</t>
  </si>
  <si>
    <t>Swzjcarsko Polski Progr Współpracy</t>
  </si>
  <si>
    <t>RPO WP oś I-VII</t>
  </si>
  <si>
    <t xml:space="preserve">Muz Polaków ratujących Żydów na Podkarp </t>
  </si>
  <si>
    <t>Dotacje bieżące</t>
  </si>
  <si>
    <t>Technologie cyfrowe …</t>
  </si>
  <si>
    <t>Wydatki inwestycyjne na przedsięwzięcia kńczące się w 2013r</t>
  </si>
  <si>
    <t>Modernizacja i doposaż Szpit. Woj. Nr 2 na potrzeby funkcjonowania centrum urazowego</t>
  </si>
  <si>
    <t>Rozbudowa i modernizacja Szpit. Woj. Nr 2 w Rzeszowie</t>
  </si>
  <si>
    <t xml:space="preserve">Kompleksowa modernizacja i ochrona budynku Centrum Kulturalnego w Przemyślu </t>
  </si>
  <si>
    <t>Inwestycje kontynuowane kończące się w 2013r.</t>
  </si>
  <si>
    <t>Objęcie akcji zwykłych - nie jest wyd inwestycyjnym</t>
  </si>
  <si>
    <t>Programy</t>
  </si>
  <si>
    <t>Doch. bieżące na programy z udziałem śr z UE(UE+BP)</t>
  </si>
  <si>
    <t>Doch. majątkowe na programy z udziałem śr z UE (UE+BP)</t>
  </si>
  <si>
    <t>własne na programy</t>
  </si>
  <si>
    <t>luty</t>
  </si>
  <si>
    <t>różnica</t>
  </si>
  <si>
    <t>Załącznik Nr 1 do uzasadnienia do projektu Uchwały Sejmiku Wojewóztwa w sprawie zmian w WPF - marzec</t>
  </si>
  <si>
    <t>TABELARYCZNE ZESTAWIENIE WNIOSKÓW O DOKONANIE ZMIAN LIMITÓW WYDATKÓW W WPF- marzec</t>
  </si>
  <si>
    <t>Lp. z WPF</t>
  </si>
  <si>
    <t>Źródło finansowania</t>
  </si>
  <si>
    <t>Wartość zadania ogółem</t>
  </si>
  <si>
    <t>2016 - 2020</t>
  </si>
  <si>
    <t>razem zmiany w latach 2012-2025</t>
  </si>
  <si>
    <t>razem nakłady poniesione do końca 2012</t>
  </si>
  <si>
    <t>razem</t>
  </si>
  <si>
    <t>WPF 2013</t>
  </si>
  <si>
    <t>wnioskowane zmiany</t>
  </si>
  <si>
    <t>po zmianach</t>
  </si>
  <si>
    <t>nakłady poniesione do końca 2012r.</t>
  </si>
  <si>
    <t>po zmianach do końca 20112.</t>
  </si>
  <si>
    <t>1a22
UM RR</t>
  </si>
  <si>
    <t>UE</t>
  </si>
  <si>
    <t>środki własne</t>
  </si>
  <si>
    <t>budżet państwa</t>
  </si>
  <si>
    <t xml:space="preserve">razem </t>
  </si>
  <si>
    <t>1a15
PZDW</t>
  </si>
  <si>
    <t>1c11
PZDW</t>
  </si>
  <si>
    <t>1a26
WUP</t>
  </si>
  <si>
    <t xml:space="preserve">bieżące </t>
  </si>
  <si>
    <t>1c4
WUP</t>
  </si>
  <si>
    <t>1c19
WUP</t>
  </si>
  <si>
    <t>RAZEM</t>
  </si>
  <si>
    <t>liczba kontrolna</t>
  </si>
  <si>
    <t>14.1.</t>
  </si>
  <si>
    <t>14.2.</t>
  </si>
  <si>
    <t>14.3.</t>
  </si>
  <si>
    <t>14.3.1.</t>
  </si>
  <si>
    <t>14.3.2.</t>
  </si>
  <si>
    <t>14.3.3.</t>
  </si>
  <si>
    <t>14.4.</t>
  </si>
  <si>
    <t>12.1.1.1.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</si>
</sst>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0.0%"/>
    <numFmt numFmtId="165" formatCode="#,##0.0"/>
  </numFmts>
  <fonts count="53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8"/>
      <color theme="1"/>
      <name val="Czcionka tekstu podstawowego"/>
      <family val="2"/>
      <charset val="238"/>
    </font>
    <font>
      <sz val="8"/>
      <color theme="1"/>
      <name val="Czcionka tekstu podstawowego"/>
      <charset val="238"/>
    </font>
    <font>
      <sz val="8"/>
      <name val="Czcionka tekstu podstawowego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zcionka tekstu podstawowego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zcionka tekstu podstawowego"/>
      <family val="2"/>
      <charset val="238"/>
    </font>
    <font>
      <sz val="10.45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6"/>
      <color theme="1"/>
      <name val="Czcionka tekstu podstawowego"/>
      <family val="2"/>
      <charset val="238"/>
    </font>
    <font>
      <sz val="18"/>
      <color theme="1"/>
      <name val="Czcionka tekstu podstawowego"/>
      <family val="2"/>
      <charset val="238"/>
    </font>
    <font>
      <sz val="14"/>
      <color theme="1"/>
      <name val="Czcionka tekstu podstawowego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sz val="12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i/>
      <sz val="12"/>
      <color theme="1"/>
      <name val="Czcionka tekstu podstawowego"/>
      <charset val="238"/>
    </font>
    <font>
      <b/>
      <i/>
      <sz val="11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i/>
      <sz val="13"/>
      <color theme="1"/>
      <name val="Czcionka tekstu podstawowego"/>
      <family val="2"/>
      <charset val="238"/>
    </font>
    <font>
      <sz val="12"/>
      <color theme="1"/>
      <name val="Czcionka tekstu podstawowego"/>
      <charset val="238"/>
    </font>
    <font>
      <sz val="13"/>
      <color theme="1"/>
      <name val="Czcionka tekstu podstawowego"/>
      <family val="2"/>
      <charset val="238"/>
    </font>
    <font>
      <b/>
      <sz val="13"/>
      <color theme="1"/>
      <name val="Czcionka tekstu podstawowego"/>
      <charset val="238"/>
    </font>
    <font>
      <b/>
      <i/>
      <sz val="13"/>
      <name val="Arial"/>
      <family val="2"/>
      <charset val="238"/>
    </font>
    <font>
      <b/>
      <i/>
      <sz val="13"/>
      <color theme="1"/>
      <name val="Czcionka tekstu podstawowego"/>
      <charset val="238"/>
    </font>
    <font>
      <b/>
      <sz val="12"/>
      <color theme="1"/>
      <name val="Czcionka tekstu podstawowego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9" fontId="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7" fillId="0" borderId="0"/>
    <xf numFmtId="43" fontId="3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0"/>
  </cellStyleXfs>
  <cellXfs count="566">
    <xf numFmtId="0" fontId="0" fillId="0" borderId="0" xfId="0"/>
    <xf numFmtId="0" fontId="0" fillId="0" borderId="0" xfId="0"/>
    <xf numFmtId="4" fontId="1" fillId="0" borderId="0" xfId="0" applyNumberFormat="1" applyFont="1"/>
    <xf numFmtId="3" fontId="1" fillId="0" borderId="1" xfId="2" applyNumberFormat="1" applyFont="1" applyBorder="1"/>
    <xf numFmtId="3" fontId="1" fillId="0" borderId="1" xfId="2" applyNumberFormat="1" applyFont="1" applyBorder="1" applyAlignment="1">
      <alignment horizontal="left" vertical="center" wrapText="1"/>
    </xf>
    <xf numFmtId="3" fontId="1" fillId="0" borderId="1" xfId="2" applyNumberFormat="1" applyFont="1" applyFill="1" applyBorder="1"/>
    <xf numFmtId="3" fontId="1" fillId="0" borderId="1" xfId="2" applyNumberFormat="1" applyFont="1" applyBorder="1" applyAlignment="1">
      <alignment horizontal="left" vertical="center"/>
    </xf>
    <xf numFmtId="0" fontId="6" fillId="0" borderId="0" xfId="2"/>
    <xf numFmtId="0" fontId="0" fillId="0" borderId="0" xfId="0" applyFill="1"/>
    <xf numFmtId="165" fontId="6" fillId="0" borderId="0" xfId="2" applyNumberFormat="1"/>
    <xf numFmtId="0" fontId="6" fillId="0" borderId="0" xfId="2" applyAlignment="1">
      <alignment horizontal="left"/>
    </xf>
    <xf numFmtId="10" fontId="6" fillId="0" borderId="0" xfId="3" applyNumberFormat="1" applyFont="1"/>
    <xf numFmtId="3" fontId="1" fillId="0" borderId="1" xfId="2" applyNumberFormat="1" applyFont="1" applyFill="1" applyBorder="1" applyAlignment="1">
      <alignment horizontal="left" vertical="center" wrapText="1"/>
    </xf>
    <xf numFmtId="3" fontId="10" fillId="0" borderId="1" xfId="2" applyNumberFormat="1" applyFont="1" applyBorder="1" applyAlignment="1">
      <alignment horizontal="left" vertical="center"/>
    </xf>
    <xf numFmtId="3" fontId="10" fillId="0" borderId="1" xfId="2" applyNumberFormat="1" applyFont="1" applyBorder="1" applyAlignment="1">
      <alignment horizontal="left" vertical="center" wrapText="1"/>
    </xf>
    <xf numFmtId="0" fontId="5" fillId="0" borderId="0" xfId="0" applyFont="1"/>
    <xf numFmtId="3" fontId="10" fillId="0" borderId="1" xfId="2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/>
    <xf numFmtId="3" fontId="12" fillId="0" borderId="1" xfId="2" applyNumberFormat="1" applyFont="1" applyFill="1" applyBorder="1" applyAlignment="1">
      <alignment horizontal="right" vertical="center"/>
    </xf>
    <xf numFmtId="3" fontId="12" fillId="0" borderId="1" xfId="2" applyNumberFormat="1" applyFont="1" applyBorder="1" applyAlignment="1">
      <alignment horizontal="right" vertical="center"/>
    </xf>
    <xf numFmtId="0" fontId="10" fillId="0" borderId="1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vertical="center" wrapText="1"/>
    </xf>
    <xf numFmtId="164" fontId="4" fillId="0" borderId="1" xfId="3" applyNumberFormat="1" applyFont="1" applyFill="1" applyBorder="1"/>
    <xf numFmtId="3" fontId="4" fillId="0" borderId="1" xfId="1" applyNumberFormat="1" applyFont="1" applyFill="1" applyBorder="1"/>
    <xf numFmtId="0" fontId="10" fillId="0" borderId="1" xfId="2" applyFont="1" applyFill="1" applyBorder="1" applyAlignment="1">
      <alignment wrapText="1"/>
    </xf>
    <xf numFmtId="3" fontId="10" fillId="0" borderId="1" xfId="2" applyNumberFormat="1" applyFont="1" applyFill="1" applyBorder="1" applyAlignment="1">
      <alignment vertical="center" wrapText="1"/>
    </xf>
    <xf numFmtId="0" fontId="10" fillId="0" borderId="3" xfId="2" applyFont="1" applyFill="1" applyBorder="1" applyAlignment="1">
      <alignment horizontal="left" vertical="center"/>
    </xf>
    <xf numFmtId="3" fontId="10" fillId="0" borderId="3" xfId="2" applyNumberFormat="1" applyFont="1" applyFill="1" applyBorder="1" applyAlignment="1">
      <alignment vertical="center" wrapText="1"/>
    </xf>
    <xf numFmtId="10" fontId="1" fillId="0" borderId="3" xfId="2" applyNumberFormat="1" applyFont="1" applyFill="1" applyBorder="1"/>
    <xf numFmtId="3" fontId="1" fillId="0" borderId="3" xfId="2" applyNumberFormat="1" applyFont="1" applyBorder="1" applyAlignment="1">
      <alignment horizontal="left" vertical="center"/>
    </xf>
    <xf numFmtId="3" fontId="1" fillId="0" borderId="3" xfId="2" applyNumberFormat="1" applyFont="1" applyFill="1" applyBorder="1"/>
    <xf numFmtId="3" fontId="1" fillId="0" borderId="3" xfId="2" applyNumberFormat="1" applyFont="1" applyBorder="1"/>
    <xf numFmtId="3" fontId="10" fillId="0" borderId="1" xfId="2" applyNumberFormat="1" applyFont="1" applyFill="1" applyBorder="1" applyAlignment="1">
      <alignment horizontal="left" vertical="center" wrapText="1"/>
    </xf>
    <xf numFmtId="3" fontId="10" fillId="0" borderId="3" xfId="2" applyNumberFormat="1" applyFont="1" applyFill="1" applyBorder="1" applyAlignment="1">
      <alignment horizontal="left" vertical="center"/>
    </xf>
    <xf numFmtId="3" fontId="10" fillId="0" borderId="3" xfId="2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3" fontId="6" fillId="0" borderId="0" xfId="2" applyNumberFormat="1"/>
    <xf numFmtId="0" fontId="0" fillId="0" borderId="0" xfId="0" applyAlignment="1">
      <alignment horizontal="left"/>
    </xf>
    <xf numFmtId="3" fontId="0" fillId="0" borderId="0" xfId="0" applyNumberFormat="1"/>
    <xf numFmtId="2" fontId="6" fillId="0" borderId="0" xfId="2" applyNumberFormat="1"/>
    <xf numFmtId="4" fontId="6" fillId="0" borderId="0" xfId="2" applyNumberFormat="1"/>
    <xf numFmtId="3" fontId="11" fillId="0" borderId="1" xfId="2" applyNumberFormat="1" applyFont="1" applyFill="1" applyBorder="1"/>
    <xf numFmtId="0" fontId="2" fillId="2" borderId="1" xfId="2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center" vertical="center"/>
    </xf>
    <xf numFmtId="0" fontId="0" fillId="2" borderId="0" xfId="0" applyFill="1"/>
    <xf numFmtId="3" fontId="2" fillId="3" borderId="1" xfId="2" applyNumberFormat="1" applyFont="1" applyFill="1" applyBorder="1" applyAlignment="1">
      <alignment horizontal="left" vertical="center"/>
    </xf>
    <xf numFmtId="3" fontId="2" fillId="3" borderId="1" xfId="2" applyNumberFormat="1" applyFont="1" applyFill="1" applyBorder="1" applyAlignment="1">
      <alignment horizontal="left" vertical="center" wrapText="1"/>
    </xf>
    <xf numFmtId="3" fontId="9" fillId="3" borderId="1" xfId="2" applyNumberFormat="1" applyFont="1" applyFill="1" applyBorder="1"/>
    <xf numFmtId="0" fontId="7" fillId="3" borderId="0" xfId="0" applyFont="1" applyFill="1"/>
    <xf numFmtId="3" fontId="2" fillId="3" borderId="1" xfId="2" applyNumberFormat="1" applyFont="1" applyFill="1" applyBorder="1"/>
    <xf numFmtId="0" fontId="5" fillId="3" borderId="0" xfId="0" applyFont="1" applyFill="1"/>
    <xf numFmtId="3" fontId="13" fillId="3" borderId="1" xfId="2" applyNumberFormat="1" applyFont="1" applyFill="1" applyBorder="1" applyAlignment="1">
      <alignment horizontal="right" vertical="center"/>
    </xf>
    <xf numFmtId="0" fontId="2" fillId="3" borderId="1" xfId="2" applyFont="1" applyFill="1" applyBorder="1" applyAlignment="1">
      <alignment horizontal="left" vertical="center"/>
    </xf>
    <xf numFmtId="0" fontId="2" fillId="3" borderId="1" xfId="2" applyFont="1" applyFill="1" applyBorder="1" applyAlignment="1">
      <alignment vertical="center" wrapText="1"/>
    </xf>
    <xf numFmtId="1" fontId="4" fillId="3" borderId="1" xfId="1" applyNumberFormat="1" applyFont="1" applyFill="1" applyBorder="1"/>
    <xf numFmtId="0" fontId="0" fillId="3" borderId="0" xfId="0" applyFill="1"/>
    <xf numFmtId="3" fontId="2" fillId="3" borderId="1" xfId="2" applyNumberFormat="1" applyFont="1" applyFill="1" applyBorder="1" applyAlignment="1">
      <alignment vertical="center" wrapText="1"/>
    </xf>
    <xf numFmtId="3" fontId="8" fillId="3" borderId="1" xfId="2" applyNumberFormat="1" applyFont="1" applyFill="1" applyBorder="1" applyAlignment="1">
      <alignment horizontal="left" vertical="center"/>
    </xf>
    <xf numFmtId="3" fontId="8" fillId="3" borderId="1" xfId="2" applyNumberFormat="1" applyFont="1" applyFill="1" applyBorder="1" applyAlignment="1">
      <alignment horizontal="left" vertical="center" wrapText="1"/>
    </xf>
    <xf numFmtId="3" fontId="8" fillId="3" borderId="1" xfId="2" applyNumberFormat="1" applyFont="1" applyFill="1" applyBorder="1"/>
    <xf numFmtId="10" fontId="1" fillId="0" borderId="1" xfId="3" applyNumberFormat="1" applyFont="1" applyFill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10" fontId="1" fillId="0" borderId="1" xfId="1" applyNumberFormat="1" applyFont="1" applyFill="1" applyBorder="1" applyAlignment="1">
      <alignment horizontal="center" vertical="center"/>
    </xf>
    <xf numFmtId="10" fontId="1" fillId="0" borderId="1" xfId="2" applyNumberFormat="1" applyFont="1" applyFill="1" applyBorder="1" applyAlignment="1">
      <alignment horizontal="center" vertical="center"/>
    </xf>
    <xf numFmtId="3" fontId="1" fillId="0" borderId="1" xfId="2" applyNumberFormat="1" applyFont="1" applyFill="1" applyBorder="1" applyAlignment="1"/>
    <xf numFmtId="164" fontId="4" fillId="0" borderId="1" xfId="3" applyNumberFormat="1" applyFont="1" applyFill="1" applyBorder="1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9" fillId="0" borderId="6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6" fillId="0" borderId="8" xfId="0" applyFont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0" fillId="5" borderId="1" xfId="0" applyFont="1" applyFill="1" applyBorder="1" applyAlignment="1">
      <alignment horizontal="left" vertical="center" wrapText="1"/>
    </xf>
    <xf numFmtId="3" fontId="24" fillId="5" borderId="1" xfId="0" applyNumberFormat="1" applyFont="1" applyFill="1" applyBorder="1"/>
    <xf numFmtId="0" fontId="0" fillId="5" borderId="0" xfId="0" applyFill="1"/>
    <xf numFmtId="0" fontId="6" fillId="5" borderId="1" xfId="0" applyFont="1" applyFill="1" applyBorder="1" applyAlignment="1">
      <alignment wrapText="1"/>
    </xf>
    <xf numFmtId="3" fontId="6" fillId="5" borderId="1" xfId="0" applyNumberFormat="1" applyFont="1" applyFill="1" applyBorder="1"/>
    <xf numFmtId="0" fontId="0" fillId="6" borderId="0" xfId="0" applyFill="1"/>
    <xf numFmtId="3" fontId="25" fillId="7" borderId="1" xfId="0" applyNumberFormat="1" applyFont="1" applyFill="1" applyBorder="1"/>
    <xf numFmtId="3" fontId="0" fillId="7" borderId="0" xfId="0" applyNumberFormat="1" applyFill="1"/>
    <xf numFmtId="0" fontId="0" fillId="7" borderId="0" xfId="0" applyFill="1"/>
    <xf numFmtId="0" fontId="6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8" borderId="0" xfId="0" applyFill="1"/>
    <xf numFmtId="0" fontId="19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/>
    <xf numFmtId="3" fontId="25" fillId="8" borderId="1" xfId="0" applyNumberFormat="1" applyFont="1" applyFill="1" applyBorder="1"/>
    <xf numFmtId="0" fontId="6" fillId="0" borderId="1" xfId="0" applyFont="1" applyFill="1" applyBorder="1" applyAlignment="1">
      <alignment horizontal="center" vertical="center"/>
    </xf>
    <xf numFmtId="3" fontId="19" fillId="0" borderId="1" xfId="1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3" fontId="6" fillId="0" borderId="1" xfId="0" applyNumberFormat="1" applyFont="1" applyBorder="1"/>
    <xf numFmtId="0" fontId="20" fillId="6" borderId="1" xfId="0" applyFont="1" applyFill="1" applyBorder="1" applyAlignment="1">
      <alignment horizontal="left" vertical="center" wrapText="1"/>
    </xf>
    <xf numFmtId="3" fontId="20" fillId="6" borderId="1" xfId="0" applyNumberFormat="1" applyFont="1" applyFill="1" applyBorder="1"/>
    <xf numFmtId="0" fontId="25" fillId="7" borderId="1" xfId="0" applyFont="1" applyFill="1" applyBorder="1" applyAlignment="1">
      <alignment horizontal="left" vertical="center" wrapText="1"/>
    </xf>
    <xf numFmtId="3" fontId="25" fillId="7" borderId="1" xfId="0" applyNumberFormat="1" applyFont="1" applyFill="1" applyBorder="1" applyAlignment="1">
      <alignment horizontal="left" vertical="center"/>
    </xf>
    <xf numFmtId="0" fontId="27" fillId="7" borderId="0" xfId="0" applyFont="1" applyFill="1" applyAlignment="1">
      <alignment horizontal="left" vertical="center"/>
    </xf>
    <xf numFmtId="0" fontId="25" fillId="8" borderId="1" xfId="0" applyFont="1" applyFill="1" applyBorder="1" applyAlignment="1">
      <alignment horizontal="left" vertical="center" wrapText="1"/>
    </xf>
    <xf numFmtId="3" fontId="25" fillId="8" borderId="1" xfId="0" applyNumberFormat="1" applyFont="1" applyFill="1" applyBorder="1" applyAlignment="1">
      <alignment horizontal="left" vertical="center"/>
    </xf>
    <xf numFmtId="0" fontId="27" fillId="8" borderId="0" xfId="0" applyFont="1" applyFill="1" applyAlignment="1">
      <alignment horizontal="left" vertic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center" vertical="center" wrapText="1"/>
    </xf>
    <xf numFmtId="0" fontId="27" fillId="8" borderId="0" xfId="0" applyFont="1" applyFill="1"/>
    <xf numFmtId="0" fontId="6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3" fontId="6" fillId="0" borderId="16" xfId="0" applyNumberFormat="1" applyFont="1" applyFill="1" applyBorder="1" applyAlignment="1">
      <alignment horizontal="center" vertical="center" wrapText="1"/>
    </xf>
    <xf numFmtId="3" fontId="0" fillId="0" borderId="16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0" fillId="4" borderId="0" xfId="0" applyFill="1"/>
    <xf numFmtId="3" fontId="6" fillId="9" borderId="17" xfId="0" applyNumberFormat="1" applyFont="1" applyFill="1" applyBorder="1"/>
    <xf numFmtId="0" fontId="0" fillId="9" borderId="0" xfId="0" applyFill="1"/>
    <xf numFmtId="0" fontId="6" fillId="9" borderId="18" xfId="0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3" fontId="0" fillId="0" borderId="0" xfId="0" applyNumberFormat="1" applyAlignment="1">
      <alignment wrapText="1"/>
    </xf>
    <xf numFmtId="3" fontId="6" fillId="0" borderId="0" xfId="0" applyNumberFormat="1" applyFont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/>
    <xf numFmtId="0" fontId="0" fillId="0" borderId="0" xfId="0" applyFont="1" applyFill="1" applyBorder="1" applyAlignment="1">
      <alignment wrapText="1"/>
    </xf>
    <xf numFmtId="0" fontId="6" fillId="0" borderId="17" xfId="0" applyFont="1" applyBorder="1" applyAlignment="1">
      <alignment horizontal="center"/>
    </xf>
    <xf numFmtId="3" fontId="6" fillId="10" borderId="1" xfId="0" applyNumberFormat="1" applyFont="1" applyFill="1" applyBorder="1"/>
    <xf numFmtId="3" fontId="6" fillId="10" borderId="1" xfId="0" applyNumberFormat="1" applyFont="1" applyFill="1" applyBorder="1" applyAlignment="1">
      <alignment horizontal="center" vertical="center"/>
    </xf>
    <xf numFmtId="0" fontId="0" fillId="10" borderId="0" xfId="0" applyFill="1"/>
    <xf numFmtId="0" fontId="6" fillId="10" borderId="1" xfId="0" applyFont="1" applyFill="1" applyBorder="1"/>
    <xf numFmtId="0" fontId="6" fillId="10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/>
    </xf>
    <xf numFmtId="3" fontId="6" fillId="4" borderId="1" xfId="0" applyNumberFormat="1" applyFont="1" applyFill="1" applyBorder="1"/>
    <xf numFmtId="3" fontId="6" fillId="11" borderId="1" xfId="0" applyNumberFormat="1" applyFont="1" applyFill="1" applyBorder="1"/>
    <xf numFmtId="3" fontId="6" fillId="11" borderId="1" xfId="0" applyNumberFormat="1" applyFont="1" applyFill="1" applyBorder="1" applyAlignment="1">
      <alignment horizontal="center"/>
    </xf>
    <xf numFmtId="0" fontId="0" fillId="11" borderId="0" xfId="0" applyFill="1"/>
    <xf numFmtId="3" fontId="0" fillId="11" borderId="0" xfId="0" applyNumberFormat="1" applyFill="1"/>
    <xf numFmtId="0" fontId="6" fillId="11" borderId="1" xfId="0" applyFont="1" applyFill="1" applyBorder="1"/>
    <xf numFmtId="0" fontId="6" fillId="11" borderId="1" xfId="0" applyFont="1" applyFill="1" applyBorder="1" applyAlignment="1">
      <alignment horizontal="center"/>
    </xf>
    <xf numFmtId="3" fontId="0" fillId="0" borderId="0" xfId="0" applyNumberFormat="1" applyFill="1"/>
    <xf numFmtId="3" fontId="19" fillId="0" borderId="1" xfId="10" applyNumberFormat="1" applyFont="1" applyFill="1" applyBorder="1" applyAlignment="1">
      <alignment vertical="center"/>
    </xf>
    <xf numFmtId="3" fontId="6" fillId="0" borderId="5" xfId="0" applyNumberFormat="1" applyFont="1" applyFill="1" applyBorder="1"/>
    <xf numFmtId="0" fontId="6" fillId="0" borderId="2" xfId="0" applyFont="1" applyFill="1" applyBorder="1" applyAlignment="1"/>
    <xf numFmtId="0" fontId="6" fillId="0" borderId="2" xfId="0" applyFont="1" applyFill="1" applyBorder="1" applyAlignment="1">
      <alignment vertical="center" wrapText="1"/>
    </xf>
    <xf numFmtId="3" fontId="0" fillId="0" borderId="1" xfId="0" applyNumberFormat="1" applyFill="1" applyBorder="1"/>
    <xf numFmtId="3" fontId="0" fillId="0" borderId="5" xfId="0" applyNumberFormat="1" applyFill="1" applyBorder="1"/>
    <xf numFmtId="0" fontId="0" fillId="0" borderId="2" xfId="0" applyFill="1" applyBorder="1" applyAlignment="1"/>
    <xf numFmtId="0" fontId="6" fillId="0" borderId="2" xfId="0" applyFont="1" applyBorder="1" applyAlignment="1"/>
    <xf numFmtId="3" fontId="0" fillId="4" borderId="1" xfId="0" applyNumberFormat="1" applyFill="1" applyBorder="1"/>
    <xf numFmtId="0" fontId="6" fillId="0" borderId="2" xfId="0" applyFont="1" applyBorder="1" applyAlignment="1">
      <alignment vertical="center"/>
    </xf>
    <xf numFmtId="0" fontId="22" fillId="0" borderId="3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3" fontId="19" fillId="0" borderId="5" xfId="10" applyNumberFormat="1" applyFont="1" applyFill="1" applyBorder="1" applyAlignment="1">
      <alignment vertical="center"/>
    </xf>
    <xf numFmtId="0" fontId="0" fillId="0" borderId="2" xfId="0" applyFill="1" applyBorder="1"/>
    <xf numFmtId="0" fontId="6" fillId="0" borderId="5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3" fontId="0" fillId="11" borderId="1" xfId="0" applyNumberForma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wrapText="1"/>
    </xf>
    <xf numFmtId="3" fontId="19" fillId="0" borderId="24" xfId="10" applyNumberFormat="1" applyFont="1" applyFill="1" applyBorder="1" applyAlignment="1">
      <alignment vertical="center"/>
    </xf>
    <xf numFmtId="3" fontId="19" fillId="0" borderId="17" xfId="1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Border="1"/>
    <xf numFmtId="0" fontId="6" fillId="0" borderId="1" xfId="0" applyFont="1" applyFill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6" fillId="9" borderId="17" xfId="0" applyFont="1" applyFill="1" applyBorder="1"/>
    <xf numFmtId="0" fontId="6" fillId="9" borderId="1" xfId="0" applyFont="1" applyFill="1" applyBorder="1" applyAlignment="1">
      <alignment horizontal="center"/>
    </xf>
    <xf numFmtId="0" fontId="6" fillId="9" borderId="2" xfId="0" applyFont="1" applyFill="1" applyBorder="1" applyAlignment="1"/>
    <xf numFmtId="0" fontId="6" fillId="9" borderId="2" xfId="0" applyFont="1" applyFill="1" applyBorder="1"/>
    <xf numFmtId="0" fontId="18" fillId="0" borderId="0" xfId="0" applyFont="1" applyFill="1"/>
    <xf numFmtId="3" fontId="6" fillId="12" borderId="1" xfId="0" applyNumberFormat="1" applyFont="1" applyFill="1" applyBorder="1"/>
    <xf numFmtId="3" fontId="6" fillId="12" borderId="0" xfId="0" applyNumberFormat="1" applyFont="1" applyFill="1"/>
    <xf numFmtId="0" fontId="0" fillId="12" borderId="0" xfId="0" applyFill="1"/>
    <xf numFmtId="3" fontId="6" fillId="0" borderId="0" xfId="0" applyNumberFormat="1" applyFont="1" applyFill="1"/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8" borderId="3" xfId="0" applyFont="1" applyFill="1" applyBorder="1" applyAlignment="1">
      <alignment horizontal="left" vertical="center"/>
    </xf>
    <xf numFmtId="0" fontId="6" fillId="8" borderId="5" xfId="0" applyFont="1" applyFill="1" applyBorder="1" applyAlignment="1">
      <alignment horizontal="left" vertical="center"/>
    </xf>
    <xf numFmtId="3" fontId="6" fillId="8" borderId="1" xfId="0" applyNumberFormat="1" applyFont="1" applyFill="1" applyBorder="1"/>
    <xf numFmtId="3" fontId="6" fillId="8" borderId="0" xfId="0" applyNumberFormat="1" applyFont="1" applyFill="1"/>
    <xf numFmtId="0" fontId="6" fillId="13" borderId="3" xfId="0" applyFont="1" applyFill="1" applyBorder="1" applyAlignment="1">
      <alignment horizontal="left" vertical="center"/>
    </xf>
    <xf numFmtId="0" fontId="6" fillId="13" borderId="5" xfId="0" applyFont="1" applyFill="1" applyBorder="1" applyAlignment="1">
      <alignment horizontal="left" vertical="center"/>
    </xf>
    <xf numFmtId="3" fontId="6" fillId="13" borderId="1" xfId="0" applyNumberFormat="1" applyFont="1" applyFill="1" applyBorder="1"/>
    <xf numFmtId="3" fontId="6" fillId="13" borderId="0" xfId="0" applyNumberFormat="1" applyFont="1" applyFill="1"/>
    <xf numFmtId="0" fontId="0" fillId="13" borderId="0" xfId="0" applyFill="1"/>
    <xf numFmtId="0" fontId="6" fillId="14" borderId="2" xfId="0" applyFont="1" applyFill="1" applyBorder="1" applyAlignment="1">
      <alignment horizontal="left" vertical="center"/>
    </xf>
    <xf numFmtId="0" fontId="6" fillId="14" borderId="3" xfId="0" applyFont="1" applyFill="1" applyBorder="1" applyAlignment="1">
      <alignment horizontal="left" vertical="center"/>
    </xf>
    <xf numFmtId="0" fontId="6" fillId="14" borderId="5" xfId="0" applyFont="1" applyFill="1" applyBorder="1" applyAlignment="1">
      <alignment horizontal="left" vertical="center"/>
    </xf>
    <xf numFmtId="3" fontId="20" fillId="14" borderId="1" xfId="0" applyNumberFormat="1" applyFont="1" applyFill="1" applyBorder="1"/>
    <xf numFmtId="3" fontId="6" fillId="14" borderId="1" xfId="0" applyNumberFormat="1" applyFont="1" applyFill="1" applyBorder="1"/>
    <xf numFmtId="3" fontId="6" fillId="14" borderId="0" xfId="0" applyNumberFormat="1" applyFont="1" applyFill="1"/>
    <xf numFmtId="0" fontId="0" fillId="14" borderId="0" xfId="0" applyFill="1"/>
    <xf numFmtId="0" fontId="6" fillId="15" borderId="3" xfId="0" applyFont="1" applyFill="1" applyBorder="1" applyAlignment="1">
      <alignment horizontal="left" vertical="center"/>
    </xf>
    <xf numFmtId="0" fontId="6" fillId="15" borderId="5" xfId="0" applyFont="1" applyFill="1" applyBorder="1" applyAlignment="1">
      <alignment horizontal="left" vertical="center"/>
    </xf>
    <xf numFmtId="3" fontId="6" fillId="15" borderId="1" xfId="0" applyNumberFormat="1" applyFont="1" applyFill="1" applyBorder="1"/>
    <xf numFmtId="3" fontId="6" fillId="15" borderId="0" xfId="0" applyNumberFormat="1" applyFont="1" applyFill="1"/>
    <xf numFmtId="0" fontId="0" fillId="15" borderId="0" xfId="0" applyFill="1"/>
    <xf numFmtId="0" fontId="6" fillId="15" borderId="2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3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/>
    <xf numFmtId="3" fontId="29" fillId="0" borderId="1" xfId="0" applyNumberFormat="1" applyFont="1" applyFill="1" applyBorder="1"/>
    <xf numFmtId="3" fontId="29" fillId="5" borderId="1" xfId="0" applyNumberFormat="1" applyFont="1" applyFill="1" applyBorder="1"/>
    <xf numFmtId="0" fontId="0" fillId="0" borderId="1" xfId="0" applyBorder="1" applyAlignment="1">
      <alignment horizontal="left"/>
    </xf>
    <xf numFmtId="3" fontId="30" fillId="0" borderId="1" xfId="0" applyNumberFormat="1" applyFont="1" applyBorder="1"/>
    <xf numFmtId="0" fontId="0" fillId="0" borderId="0" xfId="0" applyBorder="1" applyAlignment="1">
      <alignment horizontal="center"/>
    </xf>
    <xf numFmtId="0" fontId="32" fillId="0" borderId="0" xfId="0" applyFont="1"/>
    <xf numFmtId="0" fontId="31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45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5" xfId="0" applyFill="1" applyBorder="1" applyAlignment="1">
      <alignment vertical="center" wrapText="1"/>
    </xf>
    <xf numFmtId="3" fontId="36" fillId="0" borderId="37" xfId="10" applyNumberFormat="1" applyFont="1" applyFill="1" applyBorder="1" applyAlignment="1"/>
    <xf numFmtId="3" fontId="0" fillId="0" borderId="1" xfId="0" applyNumberFormat="1" applyBorder="1" applyAlignment="1">
      <alignment wrapText="1"/>
    </xf>
    <xf numFmtId="3" fontId="0" fillId="0" borderId="38" xfId="0" applyNumberFormat="1" applyBorder="1" applyAlignment="1"/>
    <xf numFmtId="3" fontId="0" fillId="0" borderId="37" xfId="0" applyNumberFormat="1" applyBorder="1" applyAlignment="1">
      <alignment wrapText="1"/>
    </xf>
    <xf numFmtId="3" fontId="0" fillId="0" borderId="37" xfId="0" applyNumberFormat="1" applyBorder="1" applyAlignment="1"/>
    <xf numFmtId="3" fontId="0" fillId="0" borderId="1" xfId="0" applyNumberFormat="1" applyBorder="1" applyAlignment="1"/>
    <xf numFmtId="3" fontId="0" fillId="0" borderId="36" xfId="0" applyNumberFormat="1" applyBorder="1" applyAlignment="1"/>
    <xf numFmtId="3" fontId="37" fillId="8" borderId="1" xfId="0" applyNumberFormat="1" applyFont="1" applyFill="1" applyBorder="1" applyAlignment="1">
      <alignment wrapText="1"/>
    </xf>
    <xf numFmtId="3" fontId="37" fillId="8" borderId="1" xfId="0" applyNumberFormat="1" applyFont="1" applyFill="1" applyBorder="1" applyAlignment="1"/>
    <xf numFmtId="0" fontId="35" fillId="0" borderId="35" xfId="0" applyFont="1" applyFill="1" applyBorder="1" applyAlignment="1">
      <alignment vertical="center"/>
    </xf>
    <xf numFmtId="3" fontId="19" fillId="0" borderId="37" xfId="10" applyNumberFormat="1" applyFont="1" applyFill="1" applyBorder="1" applyAlignment="1"/>
    <xf numFmtId="3" fontId="38" fillId="0" borderId="1" xfId="0" applyNumberFormat="1" applyFont="1" applyFill="1" applyBorder="1" applyAlignment="1">
      <alignment wrapText="1"/>
    </xf>
    <xf numFmtId="3" fontId="0" fillId="0" borderId="38" xfId="0" applyNumberFormat="1" applyFill="1" applyBorder="1" applyAlignment="1"/>
    <xf numFmtId="3" fontId="0" fillId="0" borderId="37" xfId="0" applyNumberFormat="1" applyFont="1" applyBorder="1" applyAlignment="1">
      <alignment wrapText="1"/>
    </xf>
    <xf numFmtId="3" fontId="38" fillId="0" borderId="1" xfId="0" applyNumberFormat="1" applyFont="1" applyFill="1" applyBorder="1" applyAlignment="1"/>
    <xf numFmtId="3" fontId="0" fillId="0" borderId="0" xfId="0" applyNumberFormat="1" applyFont="1"/>
    <xf numFmtId="0" fontId="0" fillId="0" borderId="0" xfId="0" applyFont="1"/>
    <xf numFmtId="0" fontId="35" fillId="7" borderId="35" xfId="0" applyFont="1" applyFill="1" applyBorder="1" applyAlignment="1">
      <alignment vertical="center"/>
    </xf>
    <xf numFmtId="3" fontId="0" fillId="7" borderId="37" xfId="0" applyNumberFormat="1" applyFill="1" applyBorder="1" applyAlignment="1">
      <alignment wrapText="1"/>
    </xf>
    <xf numFmtId="3" fontId="0" fillId="7" borderId="1" xfId="0" applyNumberFormat="1" applyFill="1" applyBorder="1" applyAlignment="1">
      <alignment wrapText="1"/>
    </xf>
    <xf numFmtId="3" fontId="0" fillId="7" borderId="38" xfId="0" applyNumberFormat="1" applyFill="1" applyBorder="1" applyAlignment="1">
      <alignment wrapText="1"/>
    </xf>
    <xf numFmtId="3" fontId="0" fillId="7" borderId="36" xfId="0" applyNumberFormat="1" applyFill="1" applyBorder="1" applyAlignment="1"/>
    <xf numFmtId="0" fontId="0" fillId="16" borderId="35" xfId="0" applyFill="1" applyBorder="1" applyAlignment="1">
      <alignment vertical="center" wrapText="1"/>
    </xf>
    <xf numFmtId="3" fontId="39" fillId="0" borderId="37" xfId="10" applyNumberFormat="1" applyFont="1" applyFill="1" applyBorder="1" applyAlignment="1"/>
    <xf numFmtId="3" fontId="40" fillId="8" borderId="1" xfId="10" applyNumberFormat="1" applyFont="1" applyFill="1" applyBorder="1" applyAlignment="1"/>
    <xf numFmtId="3" fontId="41" fillId="8" borderId="1" xfId="0" applyNumberFormat="1" applyFont="1" applyFill="1" applyBorder="1" applyAlignment="1">
      <alignment wrapText="1"/>
    </xf>
    <xf numFmtId="3" fontId="42" fillId="8" borderId="1" xfId="0" applyNumberFormat="1" applyFont="1" applyFill="1" applyBorder="1" applyAlignment="1"/>
    <xf numFmtId="0" fontId="43" fillId="3" borderId="35" xfId="0" applyFont="1" applyFill="1" applyBorder="1" applyAlignment="1">
      <alignment vertical="center" wrapText="1"/>
    </xf>
    <xf numFmtId="3" fontId="45" fillId="0" borderId="37" xfId="10" applyNumberFormat="1" applyFont="1" applyFill="1" applyBorder="1" applyAlignment="1"/>
    <xf numFmtId="3" fontId="43" fillId="0" borderId="1" xfId="0" applyNumberFormat="1" applyFont="1" applyBorder="1" applyAlignment="1">
      <alignment wrapText="1"/>
    </xf>
    <xf numFmtId="3" fontId="43" fillId="0" borderId="38" xfId="0" applyNumberFormat="1" applyFont="1" applyBorder="1" applyAlignment="1"/>
    <xf numFmtId="3" fontId="43" fillId="0" borderId="37" xfId="0" applyNumberFormat="1" applyFont="1" applyBorder="1" applyAlignment="1">
      <alignment wrapText="1"/>
    </xf>
    <xf numFmtId="3" fontId="43" fillId="0" borderId="37" xfId="0" applyNumberFormat="1" applyFont="1" applyBorder="1" applyAlignment="1"/>
    <xf numFmtId="3" fontId="43" fillId="0" borderId="1" xfId="0" applyNumberFormat="1" applyFont="1" applyBorder="1" applyAlignment="1"/>
    <xf numFmtId="3" fontId="43" fillId="0" borderId="36" xfId="0" applyNumberFormat="1" applyFont="1" applyBorder="1" applyAlignment="1"/>
    <xf numFmtId="3" fontId="46" fillId="8" borderId="1" xfId="0" applyNumberFormat="1" applyFont="1" applyFill="1" applyBorder="1" applyAlignment="1">
      <alignment wrapText="1"/>
    </xf>
    <xf numFmtId="3" fontId="46" fillId="8" borderId="1" xfId="0" applyNumberFormat="1" applyFont="1" applyFill="1" applyBorder="1" applyAlignment="1"/>
    <xf numFmtId="0" fontId="44" fillId="3" borderId="35" xfId="0" applyFont="1" applyFill="1" applyBorder="1" applyAlignment="1">
      <alignment vertical="center"/>
    </xf>
    <xf numFmtId="3" fontId="47" fillId="0" borderId="1" xfId="0" applyNumberFormat="1" applyFont="1" applyFill="1" applyBorder="1" applyAlignment="1">
      <alignment wrapText="1"/>
    </xf>
    <xf numFmtId="3" fontId="43" fillId="0" borderId="38" xfId="0" applyNumberFormat="1" applyFont="1" applyFill="1" applyBorder="1" applyAlignment="1"/>
    <xf numFmtId="3" fontId="47" fillId="0" borderId="1" xfId="0" applyNumberFormat="1" applyFont="1" applyFill="1" applyBorder="1" applyAlignment="1"/>
    <xf numFmtId="0" fontId="44" fillId="7" borderId="35" xfId="0" applyFont="1" applyFill="1" applyBorder="1" applyAlignment="1">
      <alignment vertical="center"/>
    </xf>
    <xf numFmtId="3" fontId="43" fillId="7" borderId="37" xfId="0" applyNumberFormat="1" applyFont="1" applyFill="1" applyBorder="1" applyAlignment="1">
      <alignment wrapText="1"/>
    </xf>
    <xf numFmtId="3" fontId="43" fillId="7" borderId="1" xfId="0" applyNumberFormat="1" applyFont="1" applyFill="1" applyBorder="1" applyAlignment="1">
      <alignment wrapText="1"/>
    </xf>
    <xf numFmtId="3" fontId="43" fillId="7" borderId="38" xfId="0" applyNumberFormat="1" applyFont="1" applyFill="1" applyBorder="1" applyAlignment="1">
      <alignment wrapText="1"/>
    </xf>
    <xf numFmtId="3" fontId="43" fillId="7" borderId="36" xfId="0" applyNumberFormat="1" applyFont="1" applyFill="1" applyBorder="1" applyAlignment="1"/>
    <xf numFmtId="0" fontId="43" fillId="0" borderId="35" xfId="0" applyFont="1" applyFill="1" applyBorder="1" applyAlignment="1">
      <alignment vertical="center" wrapText="1"/>
    </xf>
    <xf numFmtId="3" fontId="43" fillId="0" borderId="37" xfId="0" applyNumberFormat="1" applyFont="1" applyFill="1" applyBorder="1" applyAlignment="1">
      <alignment wrapText="1"/>
    </xf>
    <xf numFmtId="3" fontId="43" fillId="0" borderId="1" xfId="0" applyNumberFormat="1" applyFont="1" applyFill="1" applyBorder="1" applyAlignment="1">
      <alignment wrapText="1"/>
    </xf>
    <xf numFmtId="3" fontId="43" fillId="0" borderId="38" xfId="0" applyNumberFormat="1" applyFont="1" applyFill="1" applyBorder="1" applyAlignment="1">
      <alignment wrapText="1"/>
    </xf>
    <xf numFmtId="3" fontId="0" fillId="0" borderId="41" xfId="0" applyNumberFormat="1" applyBorder="1" applyAlignment="1">
      <alignment horizontal="center" vertical="center" wrapText="1"/>
    </xf>
    <xf numFmtId="3" fontId="48" fillId="7" borderId="1" xfId="0" applyNumberFormat="1" applyFont="1" applyFill="1" applyBorder="1" applyAlignment="1">
      <alignment wrapText="1"/>
    </xf>
    <xf numFmtId="0" fontId="43" fillId="16" borderId="35" xfId="0" applyFont="1" applyFill="1" applyBorder="1" applyAlignment="1">
      <alignment vertical="center" wrapText="1"/>
    </xf>
    <xf numFmtId="3" fontId="49" fillId="8" borderId="1" xfId="0" applyNumberFormat="1" applyFont="1" applyFill="1" applyBorder="1" applyAlignment="1">
      <alignment wrapText="1"/>
    </xf>
    <xf numFmtId="3" fontId="49" fillId="8" borderId="1" xfId="0" applyNumberFormat="1" applyFont="1" applyFill="1" applyBorder="1" applyAlignment="1"/>
    <xf numFmtId="3" fontId="50" fillId="8" borderId="1" xfId="10" applyNumberFormat="1" applyFont="1" applyFill="1" applyBorder="1" applyAlignment="1"/>
    <xf numFmtId="3" fontId="51" fillId="8" borderId="1" xfId="0" applyNumberFormat="1" applyFont="1" applyFill="1" applyBorder="1" applyAlignment="1">
      <alignment wrapText="1"/>
    </xf>
    <xf numFmtId="3" fontId="51" fillId="8" borderId="1" xfId="0" applyNumberFormat="1" applyFont="1" applyFill="1" applyBorder="1" applyAlignment="1"/>
    <xf numFmtId="0" fontId="43" fillId="0" borderId="35" xfId="0" applyFont="1" applyBorder="1" applyAlignment="1">
      <alignment vertical="center" wrapText="1"/>
    </xf>
    <xf numFmtId="3" fontId="45" fillId="0" borderId="1" xfId="10" applyNumberFormat="1" applyFont="1" applyFill="1" applyBorder="1" applyAlignment="1"/>
    <xf numFmtId="0" fontId="44" fillId="0" borderId="35" xfId="0" applyFont="1" applyFill="1" applyBorder="1" applyAlignment="1">
      <alignment vertical="center"/>
    </xf>
    <xf numFmtId="3" fontId="39" fillId="0" borderId="1" xfId="10" applyNumberFormat="1" applyFont="1" applyFill="1" applyBorder="1" applyAlignment="1"/>
    <xf numFmtId="3" fontId="39" fillId="0" borderId="38" xfId="10" applyNumberFormat="1" applyFont="1" applyFill="1" applyBorder="1" applyAlignment="1"/>
    <xf numFmtId="0" fontId="0" fillId="0" borderId="35" xfId="0" applyBorder="1" applyAlignment="1">
      <alignment vertical="center" wrapText="1"/>
    </xf>
    <xf numFmtId="3" fontId="0" fillId="16" borderId="37" xfId="0" applyNumberFormat="1" applyFill="1" applyBorder="1" applyAlignment="1"/>
    <xf numFmtId="3" fontId="0" fillId="16" borderId="1" xfId="0" applyNumberFormat="1" applyFill="1" applyBorder="1" applyAlignment="1"/>
    <xf numFmtId="3" fontId="0" fillId="16" borderId="38" xfId="0" applyNumberFormat="1" applyFill="1" applyBorder="1" applyAlignment="1"/>
    <xf numFmtId="0" fontId="0" fillId="16" borderId="0" xfId="0" applyFill="1"/>
    <xf numFmtId="3" fontId="0" fillId="3" borderId="37" xfId="0" applyNumberFormat="1" applyFill="1" applyBorder="1" applyAlignment="1"/>
    <xf numFmtId="3" fontId="0" fillId="3" borderId="1" xfId="0" applyNumberFormat="1" applyFill="1" applyBorder="1" applyAlignment="1"/>
    <xf numFmtId="3" fontId="0" fillId="3" borderId="38" xfId="0" applyNumberFormat="1" applyFill="1" applyBorder="1" applyAlignment="1"/>
    <xf numFmtId="3" fontId="0" fillId="0" borderId="37" xfId="0" applyNumberFormat="1" applyFill="1" applyBorder="1" applyAlignment="1"/>
    <xf numFmtId="3" fontId="52" fillId="8" borderId="1" xfId="0" applyNumberFormat="1" applyFont="1" applyFill="1" applyBorder="1" applyAlignment="1"/>
    <xf numFmtId="0" fontId="0" fillId="16" borderId="41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0" borderId="40" xfId="0" applyBorder="1"/>
    <xf numFmtId="3" fontId="0" fillId="16" borderId="45" xfId="0" applyNumberFormat="1" applyFill="1" applyBorder="1" applyAlignment="1"/>
    <xf numFmtId="0" fontId="0" fillId="16" borderId="40" xfId="0" applyFill="1" applyBorder="1"/>
    <xf numFmtId="3" fontId="0" fillId="3" borderId="45" xfId="0" applyNumberFormat="1" applyFill="1" applyBorder="1" applyAlignment="1"/>
    <xf numFmtId="0" fontId="0" fillId="3" borderId="40" xfId="0" applyFill="1" applyBorder="1"/>
    <xf numFmtId="0" fontId="35" fillId="12" borderId="42" xfId="0" applyFont="1" applyFill="1" applyBorder="1" applyAlignment="1">
      <alignment vertical="center"/>
    </xf>
    <xf numFmtId="3" fontId="0" fillId="12" borderId="37" xfId="0" applyNumberFormat="1" applyFill="1" applyBorder="1" applyAlignment="1"/>
    <xf numFmtId="3" fontId="0" fillId="12" borderId="1" xfId="0" applyNumberFormat="1" applyFill="1" applyBorder="1" applyAlignment="1"/>
    <xf numFmtId="3" fontId="0" fillId="12" borderId="38" xfId="0" applyNumberFormat="1" applyFill="1" applyBorder="1" applyAlignment="1"/>
    <xf numFmtId="3" fontId="0" fillId="12" borderId="14" xfId="0" applyNumberFormat="1" applyFill="1" applyBorder="1" applyAlignment="1"/>
    <xf numFmtId="3" fontId="0" fillId="12" borderId="53" xfId="0" applyNumberFormat="1" applyFill="1" applyBorder="1" applyAlignment="1"/>
    <xf numFmtId="3" fontId="0" fillId="12" borderId="15" xfId="0" applyNumberFormat="1" applyFill="1" applyBorder="1" applyAlignment="1"/>
    <xf numFmtId="0" fontId="0" fillId="0" borderId="43" xfId="0" applyBorder="1"/>
    <xf numFmtId="0" fontId="20" fillId="6" borderId="2" xfId="0" applyFont="1" applyFill="1" applyBorder="1" applyAlignment="1">
      <alignment horizontal="left" vertical="center" wrapText="1"/>
    </xf>
    <xf numFmtId="0" fontId="7" fillId="6" borderId="0" xfId="0" applyFont="1" applyFill="1"/>
    <xf numFmtId="3" fontId="7" fillId="6" borderId="0" xfId="0" applyNumberFormat="1" applyFont="1" applyFill="1"/>
    <xf numFmtId="0" fontId="20" fillId="6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wrapText="1"/>
    </xf>
    <xf numFmtId="3" fontId="7" fillId="7" borderId="0" xfId="0" applyNumberFormat="1" applyFont="1" applyFill="1"/>
    <xf numFmtId="0" fontId="7" fillId="7" borderId="0" xfId="0" applyFont="1" applyFill="1"/>
    <xf numFmtId="0" fontId="20" fillId="8" borderId="1" xfId="0" applyFont="1" applyFill="1" applyBorder="1"/>
    <xf numFmtId="0" fontId="7" fillId="8" borderId="0" xfId="0" applyFont="1" applyFill="1"/>
    <xf numFmtId="0" fontId="0" fillId="0" borderId="0" xfId="0" applyFill="1"/>
    <xf numFmtId="3" fontId="2" fillId="3" borderId="2" xfId="2" applyNumberFormat="1" applyFont="1" applyFill="1" applyBorder="1" applyAlignment="1">
      <alignment horizontal="center"/>
    </xf>
    <xf numFmtId="3" fontId="2" fillId="3" borderId="3" xfId="2" applyNumberFormat="1" applyFont="1" applyFill="1" applyBorder="1" applyAlignment="1">
      <alignment horizontal="center"/>
    </xf>
    <xf numFmtId="3" fontId="2" fillId="3" borderId="5" xfId="2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4" fontId="14" fillId="3" borderId="2" xfId="3" applyNumberFormat="1" applyFont="1" applyFill="1" applyBorder="1" applyAlignment="1">
      <alignment horizontal="center"/>
    </xf>
    <xf numFmtId="164" fontId="14" fillId="3" borderId="3" xfId="3" applyNumberFormat="1" applyFont="1" applyFill="1" applyBorder="1" applyAlignment="1">
      <alignment horizontal="center"/>
    </xf>
    <xf numFmtId="164" fontId="14" fillId="3" borderId="5" xfId="3" applyNumberFormat="1" applyFont="1" applyFill="1" applyBorder="1" applyAlignment="1">
      <alignment horizontal="center"/>
    </xf>
    <xf numFmtId="3" fontId="14" fillId="3" borderId="2" xfId="1" applyNumberFormat="1" applyFont="1" applyFill="1" applyBorder="1" applyAlignment="1">
      <alignment horizontal="center"/>
    </xf>
    <xf numFmtId="3" fontId="14" fillId="3" borderId="3" xfId="1" applyNumberFormat="1" applyFont="1" applyFill="1" applyBorder="1" applyAlignment="1">
      <alignment horizontal="center"/>
    </xf>
    <xf numFmtId="3" fontId="14" fillId="3" borderId="5" xfId="1" applyNumberFormat="1" applyFont="1" applyFill="1" applyBorder="1" applyAlignment="1">
      <alignment horizontal="center"/>
    </xf>
    <xf numFmtId="10" fontId="2" fillId="3" borderId="2" xfId="2" applyNumberFormat="1" applyFont="1" applyFill="1" applyBorder="1" applyAlignment="1">
      <alignment horizontal="center"/>
    </xf>
    <xf numFmtId="10" fontId="2" fillId="3" borderId="3" xfId="2" applyNumberFormat="1" applyFont="1" applyFill="1" applyBorder="1" applyAlignment="1">
      <alignment horizontal="center"/>
    </xf>
    <xf numFmtId="10" fontId="2" fillId="3" borderId="5" xfId="2" applyNumberFormat="1" applyFont="1" applyFill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6" borderId="2" xfId="0" applyFont="1" applyFill="1" applyBorder="1" applyAlignment="1">
      <alignment horizontal="left" vertical="center" wrapText="1"/>
    </xf>
    <xf numFmtId="0" fontId="20" fillId="6" borderId="3" xfId="0" applyFont="1" applyFill="1" applyBorder="1" applyAlignment="1">
      <alignment horizontal="left" vertical="center" wrapText="1"/>
    </xf>
    <xf numFmtId="49" fontId="25" fillId="7" borderId="2" xfId="0" applyNumberFormat="1" applyFont="1" applyFill="1" applyBorder="1" applyAlignment="1">
      <alignment horizontal="left" vertical="center" wrapText="1"/>
    </xf>
    <xf numFmtId="49" fontId="25" fillId="7" borderId="3" xfId="0" applyNumberFormat="1" applyFont="1" applyFill="1" applyBorder="1" applyAlignment="1">
      <alignment horizontal="left"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25" fillId="8" borderId="3" xfId="0" applyFont="1" applyFill="1" applyBorder="1" applyAlignment="1">
      <alignment horizontal="left" vertical="center" wrapText="1"/>
    </xf>
    <xf numFmtId="0" fontId="21" fillId="0" borderId="8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0" fillId="5" borderId="2" xfId="0" applyFont="1" applyFill="1" applyBorder="1" applyAlignment="1">
      <alignment horizontal="left" wrapText="1"/>
    </xf>
    <xf numFmtId="0" fontId="20" fillId="5" borderId="3" xfId="0" applyFont="1" applyFill="1" applyBorder="1" applyAlignment="1">
      <alignment horizontal="left" wrapText="1"/>
    </xf>
    <xf numFmtId="49" fontId="6" fillId="5" borderId="2" xfId="0" applyNumberFormat="1" applyFont="1" applyFill="1" applyBorder="1" applyAlignment="1">
      <alignment horizontal="left" vertical="center" wrapText="1"/>
    </xf>
    <xf numFmtId="49" fontId="6" fillId="5" borderId="3" xfId="0" applyNumberFormat="1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25" fillId="8" borderId="5" xfId="0" applyFont="1" applyFill="1" applyBorder="1" applyAlignment="1">
      <alignment horizontal="left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/>
    </xf>
    <xf numFmtId="0" fontId="3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 wrapText="1"/>
    </xf>
    <xf numFmtId="0" fontId="35" fillId="0" borderId="41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 vertical="center" wrapText="1"/>
    </xf>
    <xf numFmtId="3" fontId="0" fillId="0" borderId="41" xfId="0" applyNumberFormat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9" fillId="0" borderId="36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3" fillId="0" borderId="35" xfId="0" applyFont="1" applyBorder="1" applyAlignment="1">
      <alignment horizontal="center" vertical="center"/>
    </xf>
    <xf numFmtId="0" fontId="44" fillId="0" borderId="40" xfId="0" applyFont="1" applyFill="1" applyBorder="1" applyAlignment="1">
      <alignment horizontal="center" vertical="center" wrapText="1"/>
    </xf>
    <xf numFmtId="0" fontId="44" fillId="0" borderId="41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vertical="center" wrapText="1"/>
    </xf>
    <xf numFmtId="0" fontId="39" fillId="0" borderId="48" xfId="0" applyFont="1" applyFill="1" applyBorder="1" applyAlignment="1">
      <alignment horizontal="center" vertical="center" wrapText="1"/>
    </xf>
    <xf numFmtId="0" fontId="39" fillId="0" borderId="35" xfId="0" applyFont="1" applyFill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0" fontId="39" fillId="0" borderId="41" xfId="0" applyFont="1" applyFill="1" applyBorder="1" applyAlignment="1">
      <alignment horizontal="center" vertical="center" wrapText="1"/>
    </xf>
    <xf numFmtId="0" fontId="39" fillId="0" borderId="47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/>
    </xf>
    <xf numFmtId="0" fontId="0" fillId="0" borderId="16" xfId="0" applyFill="1" applyBorder="1"/>
    <xf numFmtId="0" fontId="0" fillId="0" borderId="50" xfId="0" applyFill="1" applyBorder="1"/>
    <xf numFmtId="0" fontId="6" fillId="0" borderId="5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52" xfId="0" applyFill="1" applyBorder="1"/>
    <xf numFmtId="0" fontId="0" fillId="0" borderId="51" xfId="0" applyFill="1" applyBorder="1"/>
    <xf numFmtId="0" fontId="0" fillId="0" borderId="0" xfId="0" applyFill="1"/>
    <xf numFmtId="0" fontId="0" fillId="0" borderId="22" xfId="0" applyFill="1" applyBorder="1"/>
    <xf numFmtId="0" fontId="0" fillId="0" borderId="6" xfId="0" applyFill="1" applyBorder="1"/>
    <xf numFmtId="0" fontId="0" fillId="0" borderId="23" xfId="0" applyFill="1" applyBorder="1"/>
    <xf numFmtId="0" fontId="0" fillId="0" borderId="47" xfId="0" applyBorder="1" applyAlignment="1">
      <alignment horizontal="center" vertical="center" wrapText="1"/>
    </xf>
    <xf numFmtId="0" fontId="20" fillId="0" borderId="8" xfId="0" applyFont="1" applyBorder="1" applyAlignment="1">
      <alignment horizont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20" fillId="11" borderId="2" xfId="0" applyFont="1" applyFill="1" applyBorder="1" applyAlignment="1">
      <alignment horizontal="left" wrapText="1"/>
    </xf>
    <xf numFmtId="0" fontId="20" fillId="11" borderId="3" xfId="0" applyFont="1" applyFill="1" applyBorder="1" applyAlignment="1">
      <alignment horizontal="left" wrapText="1"/>
    </xf>
    <xf numFmtId="0" fontId="20" fillId="11" borderId="5" xfId="0" applyFont="1" applyFill="1" applyBorder="1" applyAlignment="1">
      <alignment horizontal="left" wrapText="1"/>
    </xf>
    <xf numFmtId="0" fontId="6" fillId="11" borderId="2" xfId="0" applyFont="1" applyFill="1" applyBorder="1" applyAlignment="1">
      <alignment wrapText="1"/>
    </xf>
    <xf numFmtId="0" fontId="6" fillId="11" borderId="3" xfId="0" applyFont="1" applyFill="1" applyBorder="1" applyAlignment="1">
      <alignment wrapText="1"/>
    </xf>
    <xf numFmtId="0" fontId="6" fillId="11" borderId="5" xfId="0" applyFont="1" applyFill="1" applyBorder="1" applyAlignment="1">
      <alignment wrapText="1"/>
    </xf>
    <xf numFmtId="0" fontId="6" fillId="11" borderId="2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0" fillId="10" borderId="2" xfId="0" applyFont="1" applyFill="1" applyBorder="1" applyAlignment="1">
      <alignment horizontal="left" wrapText="1"/>
    </xf>
    <xf numFmtId="0" fontId="20" fillId="10" borderId="3" xfId="0" applyFont="1" applyFill="1" applyBorder="1" applyAlignment="1">
      <alignment horizontal="left" wrapText="1"/>
    </xf>
    <xf numFmtId="0" fontId="20" fillId="10" borderId="5" xfId="0" applyFont="1" applyFill="1" applyBorder="1" applyAlignment="1">
      <alignment horizontal="left" wrapText="1"/>
    </xf>
    <xf numFmtId="0" fontId="6" fillId="10" borderId="2" xfId="0" applyFont="1" applyFill="1" applyBorder="1" applyAlignment="1">
      <alignment wrapText="1"/>
    </xf>
    <xf numFmtId="0" fontId="6" fillId="10" borderId="3" xfId="0" applyFont="1" applyFill="1" applyBorder="1" applyAlignment="1">
      <alignment wrapText="1"/>
    </xf>
    <xf numFmtId="0" fontId="6" fillId="10" borderId="5" xfId="0" applyFont="1" applyFill="1" applyBorder="1" applyAlignment="1">
      <alignment wrapText="1"/>
    </xf>
    <xf numFmtId="0" fontId="6" fillId="10" borderId="2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/>
    </xf>
    <xf numFmtId="0" fontId="22" fillId="0" borderId="5" xfId="0" applyFont="1" applyFill="1" applyBorder="1" applyAlignment="1">
      <alignment horizontal="left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22" fillId="0" borderId="3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 vertical="center" wrapText="1"/>
    </xf>
    <xf numFmtId="0" fontId="6" fillId="0" borderId="27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22" fillId="0" borderId="3" xfId="0" applyFont="1" applyBorder="1" applyAlignment="1">
      <alignment wrapText="1"/>
    </xf>
    <xf numFmtId="0" fontId="22" fillId="0" borderId="5" xfId="0" applyFont="1" applyBorder="1" applyAlignment="1">
      <alignment wrapText="1"/>
    </xf>
    <xf numFmtId="0" fontId="22" fillId="0" borderId="3" xfId="0" applyFont="1" applyBorder="1" applyAlignment="1">
      <alignment horizontal="left" wrapText="1"/>
    </xf>
    <xf numFmtId="0" fontId="22" fillId="0" borderId="5" xfId="0" applyFont="1" applyBorder="1" applyAlignment="1">
      <alignment horizontal="left" wrapText="1"/>
    </xf>
    <xf numFmtId="3" fontId="6" fillId="0" borderId="24" xfId="0" applyNumberFormat="1" applyFont="1" applyFill="1" applyBorder="1" applyAlignment="1">
      <alignment horizontal="center" vertical="center" wrapText="1"/>
    </xf>
    <xf numFmtId="3" fontId="6" fillId="0" borderId="27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wrapText="1"/>
    </xf>
    <xf numFmtId="0" fontId="6" fillId="0" borderId="18" xfId="0" applyFont="1" applyFill="1" applyBorder="1" applyAlignment="1">
      <alignment wrapText="1"/>
    </xf>
    <xf numFmtId="0" fontId="20" fillId="9" borderId="18" xfId="0" applyFont="1" applyFill="1" applyBorder="1" applyAlignment="1">
      <alignment wrapText="1"/>
    </xf>
    <xf numFmtId="0" fontId="20" fillId="9" borderId="4" xfId="0" applyFont="1" applyFill="1" applyBorder="1" applyAlignment="1">
      <alignment wrapText="1"/>
    </xf>
    <xf numFmtId="0" fontId="20" fillId="9" borderId="19" xfId="0" applyFont="1" applyFill="1" applyBorder="1" applyAlignment="1">
      <alignment wrapText="1"/>
    </xf>
    <xf numFmtId="0" fontId="6" fillId="9" borderId="18" xfId="0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22" fillId="9" borderId="3" xfId="0" applyFont="1" applyFill="1" applyBorder="1" applyAlignment="1">
      <alignment wrapText="1"/>
    </xf>
    <xf numFmtId="0" fontId="22" fillId="9" borderId="5" xfId="0" applyFont="1" applyFill="1" applyBorder="1" applyAlignment="1">
      <alignment wrapText="1"/>
    </xf>
    <xf numFmtId="0" fontId="6" fillId="9" borderId="2" xfId="0" applyFont="1" applyFill="1" applyBorder="1" applyAlignment="1">
      <alignment wrapText="1"/>
    </xf>
    <xf numFmtId="0" fontId="6" fillId="9" borderId="3" xfId="0" applyFont="1" applyFill="1" applyBorder="1" applyAlignment="1">
      <alignment wrapText="1"/>
    </xf>
    <xf numFmtId="0" fontId="6" fillId="9" borderId="5" xfId="0" applyFont="1" applyFill="1" applyBorder="1" applyAlignment="1">
      <alignment wrapText="1"/>
    </xf>
    <xf numFmtId="0" fontId="6" fillId="9" borderId="2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left" vertical="center"/>
    </xf>
    <xf numFmtId="0" fontId="6" fillId="13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15" borderId="2" xfId="0" applyFont="1" applyFill="1" applyBorder="1" applyAlignment="1">
      <alignment horizontal="left" vertical="center"/>
    </xf>
    <xf numFmtId="0" fontId="6" fillId="15" borderId="3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3" borderId="3" xfId="0" applyFill="1" applyBorder="1" applyAlignment="1">
      <alignment horizontal="left"/>
    </xf>
    <xf numFmtId="0" fontId="6" fillId="12" borderId="2" xfId="0" applyFont="1" applyFill="1" applyBorder="1" applyAlignment="1">
      <alignment horizontal="left" vertical="center"/>
    </xf>
    <xf numFmtId="0" fontId="6" fillId="12" borderId="3" xfId="0" applyFont="1" applyFill="1" applyBorder="1" applyAlignment="1">
      <alignment horizontal="left" vertical="center"/>
    </xf>
    <xf numFmtId="0" fontId="6" fillId="12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12" borderId="2" xfId="0" applyFont="1" applyFill="1" applyBorder="1" applyAlignment="1">
      <alignment horizontal="left"/>
    </xf>
    <xf numFmtId="0" fontId="6" fillId="12" borderId="3" xfId="0" applyFont="1" applyFill="1" applyBorder="1" applyAlignment="1">
      <alignment horizontal="left"/>
    </xf>
    <xf numFmtId="0" fontId="6" fillId="12" borderId="5" xfId="0" applyFont="1" applyFill="1" applyBorder="1" applyAlignment="1">
      <alignment horizontal="left"/>
    </xf>
    <xf numFmtId="0" fontId="6" fillId="8" borderId="2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</cellXfs>
  <cellStyles count="14">
    <cellStyle name="Dziesiętny" xfId="10" builtinId="3"/>
    <cellStyle name="Normalny" xfId="0" builtinId="0"/>
    <cellStyle name="Normalny 2" xfId="4"/>
    <cellStyle name="Normalny 2 2" xfId="5"/>
    <cellStyle name="Normalny 2 2 2" xfId="11"/>
    <cellStyle name="Normalny 2 2 3" xfId="12"/>
    <cellStyle name="Normalny 2 3" xfId="13"/>
    <cellStyle name="Normalny 3" xfId="6"/>
    <cellStyle name="Normalny 3 2" xfId="7"/>
    <cellStyle name="Normalny 3 2 2" xfId="8"/>
    <cellStyle name="Normalny 4" xfId="9"/>
    <cellStyle name="Normalny 5" xfId="2"/>
    <cellStyle name="Procentowy" xfId="1" builtinId="5"/>
    <cellStyle name="Procentowy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O217"/>
  <sheetViews>
    <sheetView tabSelected="1" view="pageBreakPreview" zoomScaleNormal="96" zoomScaleSheetLayoutView="100" workbookViewId="0">
      <pane xSplit="2" ySplit="3" topLeftCell="C34" activePane="bottomRight" state="frozen"/>
      <selection pane="topRight" activeCell="C1" sqref="C1"/>
      <selection pane="bottomLeft" activeCell="A4" sqref="A4"/>
      <selection pane="bottomRight" activeCell="B105" sqref="B105"/>
    </sheetView>
  </sheetViews>
  <sheetFormatPr defaultRowHeight="14.25"/>
  <cols>
    <col min="1" max="1" width="6.75" style="37" customWidth="1"/>
    <col min="2" max="2" width="49.875" style="1" customWidth="1"/>
    <col min="3" max="15" width="9.625" style="1" customWidth="1"/>
    <col min="16" max="16384" width="9" style="1"/>
  </cols>
  <sheetData>
    <row r="1" spans="1:15" ht="54.75" customHeight="1">
      <c r="A1" s="1"/>
      <c r="D1" s="2"/>
      <c r="E1" s="2"/>
      <c r="F1" s="2"/>
      <c r="G1" s="2"/>
      <c r="H1" s="2"/>
      <c r="I1" s="2"/>
      <c r="J1" s="2"/>
      <c r="K1" s="2"/>
      <c r="L1" s="355" t="s">
        <v>181</v>
      </c>
      <c r="M1" s="355"/>
      <c r="N1" s="355"/>
      <c r="O1" s="355"/>
    </row>
    <row r="2" spans="1:15" ht="26.25" customHeight="1">
      <c r="A2" s="1"/>
      <c r="B2" s="354" t="s">
        <v>5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</row>
    <row r="3" spans="1:15" s="44" customFormat="1">
      <c r="A3" s="42" t="s">
        <v>0</v>
      </c>
      <c r="B3" s="43" t="s">
        <v>1</v>
      </c>
      <c r="C3" s="43">
        <v>2013</v>
      </c>
      <c r="D3" s="43">
        <v>2014</v>
      </c>
      <c r="E3" s="43">
        <v>2015</v>
      </c>
      <c r="F3" s="43">
        <v>2016</v>
      </c>
      <c r="G3" s="43">
        <v>2017</v>
      </c>
      <c r="H3" s="43">
        <v>2018</v>
      </c>
      <c r="I3" s="43">
        <v>2019</v>
      </c>
      <c r="J3" s="43">
        <v>2020</v>
      </c>
      <c r="K3" s="43">
        <v>2021</v>
      </c>
      <c r="L3" s="43">
        <v>2022</v>
      </c>
      <c r="M3" s="43">
        <v>2023</v>
      </c>
      <c r="N3" s="43">
        <v>2024</v>
      </c>
      <c r="O3" s="43">
        <v>2025</v>
      </c>
    </row>
    <row r="4" spans="1:15" s="48" customFormat="1" ht="15">
      <c r="A4" s="57" t="s">
        <v>92</v>
      </c>
      <c r="B4" s="58" t="s">
        <v>7</v>
      </c>
      <c r="C4" s="59">
        <v>1436198093</v>
      </c>
      <c r="D4" s="47">
        <v>1258912703.52</v>
      </c>
      <c r="E4" s="47">
        <v>760884452.01040006</v>
      </c>
      <c r="F4" s="47">
        <v>572802888.39060807</v>
      </c>
      <c r="G4" s="47">
        <v>576189796.15842021</v>
      </c>
      <c r="H4" s="47">
        <v>584633592.08158851</v>
      </c>
      <c r="I4" s="47">
        <v>596306263.9232204</v>
      </c>
      <c r="J4" s="47">
        <v>608212389.20168483</v>
      </c>
      <c r="K4" s="47">
        <v>620356636.98571861</v>
      </c>
      <c r="L4" s="47">
        <v>632743769.72543287</v>
      </c>
      <c r="M4" s="47">
        <v>645378645.11994159</v>
      </c>
      <c r="N4" s="47">
        <v>658266218.02234042</v>
      </c>
      <c r="O4" s="47">
        <v>671411542.38278723</v>
      </c>
    </row>
    <row r="5" spans="1:15">
      <c r="A5" s="6" t="s">
        <v>82</v>
      </c>
      <c r="B5" s="4" t="s">
        <v>8</v>
      </c>
      <c r="C5" s="3">
        <v>667890734</v>
      </c>
      <c r="D5" s="3">
        <v>667405508.51999998</v>
      </c>
      <c r="E5" s="3">
        <v>594221985.01040006</v>
      </c>
      <c r="F5" s="3">
        <v>564802888.39060807</v>
      </c>
      <c r="G5" s="3">
        <v>572189796.15842021</v>
      </c>
      <c r="H5" s="3">
        <v>583633592.08158851</v>
      </c>
      <c r="I5" s="3">
        <v>595306263.9232204</v>
      </c>
      <c r="J5" s="3">
        <v>607212389.20168483</v>
      </c>
      <c r="K5" s="3">
        <v>619356636.98571861</v>
      </c>
      <c r="L5" s="3">
        <v>631743769.72543287</v>
      </c>
      <c r="M5" s="3">
        <v>644378645.11994159</v>
      </c>
      <c r="N5" s="3">
        <v>657266218.02234042</v>
      </c>
      <c r="O5" s="3">
        <v>670411542.38278723</v>
      </c>
    </row>
    <row r="6" spans="1:15" ht="22.5">
      <c r="A6" s="6" t="s">
        <v>83</v>
      </c>
      <c r="B6" s="4" t="s">
        <v>175</v>
      </c>
      <c r="C6" s="3">
        <v>39665790</v>
      </c>
      <c r="D6" s="3">
        <v>40459105.799999997</v>
      </c>
      <c r="E6" s="3">
        <v>41268287.916000001</v>
      </c>
      <c r="F6" s="3">
        <v>42093653.674320005</v>
      </c>
      <c r="G6" s="3">
        <v>42935526.747806408</v>
      </c>
      <c r="H6" s="3">
        <v>43794237.282762535</v>
      </c>
      <c r="I6" s="3">
        <v>44670122.028417788</v>
      </c>
      <c r="J6" s="3">
        <v>45563524.468986146</v>
      </c>
      <c r="K6" s="3">
        <v>46474794.958365873</v>
      </c>
      <c r="L6" s="3">
        <v>47404290.857533194</v>
      </c>
      <c r="M6" s="3">
        <v>48352376.674683861</v>
      </c>
      <c r="N6" s="3">
        <v>49319424.208177537</v>
      </c>
      <c r="O6" s="3">
        <v>50305812.692341089</v>
      </c>
    </row>
    <row r="7" spans="1:15" ht="22.5">
      <c r="A7" s="6" t="s">
        <v>84</v>
      </c>
      <c r="B7" s="4" t="s">
        <v>9</v>
      </c>
      <c r="C7" s="3">
        <v>120000000</v>
      </c>
      <c r="D7" s="3">
        <v>122400000</v>
      </c>
      <c r="E7" s="3">
        <v>124848000</v>
      </c>
      <c r="F7" s="3">
        <v>127344960</v>
      </c>
      <c r="G7" s="3">
        <v>129891859.2</v>
      </c>
      <c r="H7" s="3">
        <v>132489696.384</v>
      </c>
      <c r="I7" s="3">
        <v>135139490.31168002</v>
      </c>
      <c r="J7" s="3">
        <v>137842280.11791363</v>
      </c>
      <c r="K7" s="3">
        <v>140599125.72027192</v>
      </c>
      <c r="L7" s="3">
        <v>143411108.23467734</v>
      </c>
      <c r="M7" s="3">
        <v>146279330.39937091</v>
      </c>
      <c r="N7" s="3">
        <v>149204917.00735834</v>
      </c>
      <c r="O7" s="3">
        <v>152189015.34750551</v>
      </c>
    </row>
    <row r="8" spans="1:15" ht="14.25" customHeight="1">
      <c r="A8" s="6" t="s">
        <v>85</v>
      </c>
      <c r="B8" s="4" t="s">
        <v>10</v>
      </c>
      <c r="C8" s="3">
        <v>8810000</v>
      </c>
      <c r="D8" s="3">
        <v>8986200</v>
      </c>
      <c r="E8" s="3">
        <v>9165924</v>
      </c>
      <c r="F8" s="3">
        <v>9349242.4800000004</v>
      </c>
      <c r="G8" s="3">
        <v>9536227.3296000008</v>
      </c>
      <c r="H8" s="3">
        <v>9726951.8761920016</v>
      </c>
      <c r="I8" s="3">
        <v>9921490.9137158412</v>
      </c>
      <c r="J8" s="3">
        <v>10119920.731990159</v>
      </c>
      <c r="K8" s="3">
        <v>10322319.146629961</v>
      </c>
      <c r="L8" s="3">
        <v>10528765.529562561</v>
      </c>
      <c r="M8" s="3">
        <v>10739340.840153811</v>
      </c>
      <c r="N8" s="3">
        <v>10954127.656956889</v>
      </c>
      <c r="O8" s="3">
        <v>11173210.210096026</v>
      </c>
    </row>
    <row r="9" spans="1:15" ht="14.25" customHeight="1">
      <c r="A9" s="6" t="s">
        <v>86</v>
      </c>
      <c r="B9" s="12" t="s">
        <v>11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</row>
    <row r="10" spans="1:15" ht="14.25" customHeight="1">
      <c r="A10" s="6" t="s">
        <v>87</v>
      </c>
      <c r="B10" s="4" t="s">
        <v>12</v>
      </c>
      <c r="C10" s="3">
        <v>278604112</v>
      </c>
      <c r="D10" s="3">
        <v>284176194.24000001</v>
      </c>
      <c r="E10" s="3">
        <v>289859718.12480003</v>
      </c>
      <c r="F10" s="3">
        <v>295656912.48729604</v>
      </c>
      <c r="G10" s="3">
        <v>301570050.73704195</v>
      </c>
      <c r="H10" s="3">
        <v>307601451.75178277</v>
      </c>
      <c r="I10" s="3">
        <v>313753480.78681844</v>
      </c>
      <c r="J10" s="3">
        <v>320028550.40255481</v>
      </c>
      <c r="K10" s="3">
        <v>326429121.41060591</v>
      </c>
      <c r="L10" s="3">
        <v>332957703.83881801</v>
      </c>
      <c r="M10" s="3">
        <v>339616857.9155944</v>
      </c>
      <c r="N10" s="3">
        <v>346409195.0739063</v>
      </c>
      <c r="O10" s="3">
        <v>353337378.97538441</v>
      </c>
    </row>
    <row r="11" spans="1:15" ht="14.25" customHeight="1">
      <c r="A11" s="6" t="s">
        <v>88</v>
      </c>
      <c r="B11" s="4" t="s">
        <v>13</v>
      </c>
      <c r="C11" s="3">
        <v>189576374</v>
      </c>
      <c r="D11" s="3">
        <v>166287654.40000001</v>
      </c>
      <c r="E11" s="3">
        <v>97854117.687999994</v>
      </c>
      <c r="F11" s="3">
        <v>71770739.021760002</v>
      </c>
      <c r="G11" s="3">
        <v>69297003.802195206</v>
      </c>
      <c r="H11" s="3">
        <v>70682943.87823911</v>
      </c>
      <c r="I11" s="3">
        <v>72096602.755803883</v>
      </c>
      <c r="J11" s="3">
        <v>73538534.810919955</v>
      </c>
      <c r="K11" s="3">
        <v>75009305.507138371</v>
      </c>
      <c r="L11" s="3">
        <v>76509491.617281139</v>
      </c>
      <c r="M11" s="3">
        <v>78039681.449626759</v>
      </c>
      <c r="N11" s="3">
        <v>79600475.078619301</v>
      </c>
      <c r="O11" s="3">
        <v>81192484.580191687</v>
      </c>
    </row>
    <row r="12" spans="1:15" ht="14.25" customHeight="1">
      <c r="A12" s="6" t="s">
        <v>89</v>
      </c>
      <c r="B12" s="4" t="s">
        <v>14</v>
      </c>
      <c r="C12" s="3">
        <v>768307359</v>
      </c>
      <c r="D12" s="3">
        <v>591507195</v>
      </c>
      <c r="E12" s="3">
        <v>166662467</v>
      </c>
      <c r="F12" s="3">
        <v>8000000</v>
      </c>
      <c r="G12" s="3">
        <v>4000000</v>
      </c>
      <c r="H12" s="3">
        <v>1000000</v>
      </c>
      <c r="I12" s="3">
        <v>1000000</v>
      </c>
      <c r="J12" s="3">
        <v>1000000</v>
      </c>
      <c r="K12" s="3">
        <v>1000000</v>
      </c>
      <c r="L12" s="3">
        <v>1000000</v>
      </c>
      <c r="M12" s="3">
        <v>1000000</v>
      </c>
      <c r="N12" s="3">
        <v>1000000</v>
      </c>
      <c r="O12" s="3">
        <v>1000000</v>
      </c>
    </row>
    <row r="13" spans="1:15" ht="14.25" customHeight="1">
      <c r="A13" s="6" t="s">
        <v>90</v>
      </c>
      <c r="B13" s="4" t="s">
        <v>2</v>
      </c>
      <c r="C13" s="3">
        <v>20370000</v>
      </c>
      <c r="D13" s="3">
        <v>10000000</v>
      </c>
      <c r="E13" s="3">
        <v>10000000</v>
      </c>
      <c r="F13" s="3">
        <v>5000000</v>
      </c>
      <c r="G13" s="3">
        <v>1000000</v>
      </c>
      <c r="H13" s="3">
        <v>1000000</v>
      </c>
      <c r="I13" s="3">
        <v>1000000</v>
      </c>
      <c r="J13" s="3">
        <v>1000000</v>
      </c>
      <c r="K13" s="3">
        <v>1000000</v>
      </c>
      <c r="L13" s="3">
        <v>1000000</v>
      </c>
      <c r="M13" s="3">
        <v>1000000</v>
      </c>
      <c r="N13" s="3">
        <v>1000000</v>
      </c>
      <c r="O13" s="3">
        <v>1000000</v>
      </c>
    </row>
    <row r="14" spans="1:15" ht="14.25" customHeight="1">
      <c r="A14" s="6" t="s">
        <v>91</v>
      </c>
      <c r="B14" s="4" t="s">
        <v>15</v>
      </c>
      <c r="C14" s="3">
        <v>747937359</v>
      </c>
      <c r="D14" s="3">
        <v>581507195</v>
      </c>
      <c r="E14" s="3">
        <v>156662467</v>
      </c>
      <c r="F14" s="3">
        <v>3000000</v>
      </c>
      <c r="G14" s="3">
        <v>3000000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</row>
    <row r="15" spans="1:15" s="48" customFormat="1" ht="15">
      <c r="A15" s="45" t="s">
        <v>93</v>
      </c>
      <c r="B15" s="46" t="s">
        <v>16</v>
      </c>
      <c r="C15" s="47">
        <v>1514491245</v>
      </c>
      <c r="D15" s="47">
        <v>1289188681.26</v>
      </c>
      <c r="E15" s="47">
        <v>744593240.77878249</v>
      </c>
      <c r="F15" s="47">
        <v>538326248.40033197</v>
      </c>
      <c r="G15" s="47">
        <v>529745153.12633866</v>
      </c>
      <c r="H15" s="47">
        <v>538188949.09286547</v>
      </c>
      <c r="I15" s="47">
        <v>549861620.95072269</v>
      </c>
      <c r="J15" s="47">
        <v>573767746.1897372</v>
      </c>
      <c r="K15" s="47">
        <v>573911991.97753191</v>
      </c>
      <c r="L15" s="47">
        <v>612183769.72108257</v>
      </c>
      <c r="M15" s="47">
        <v>612818645.15150416</v>
      </c>
      <c r="N15" s="47">
        <v>625706218.03253436</v>
      </c>
      <c r="O15" s="47">
        <v>650851542.39318502</v>
      </c>
    </row>
    <row r="16" spans="1:15">
      <c r="A16" s="13" t="s">
        <v>94</v>
      </c>
      <c r="B16" s="14" t="s">
        <v>6</v>
      </c>
      <c r="C16" s="3">
        <v>598439754</v>
      </c>
      <c r="D16" s="3">
        <v>540028879.25999999</v>
      </c>
      <c r="E16" s="3">
        <v>470157045.68659997</v>
      </c>
      <c r="F16" s="3">
        <v>445453221.30033201</v>
      </c>
      <c r="G16" s="3">
        <v>443403698.32633865</v>
      </c>
      <c r="H16" s="3">
        <v>446183436.89286542</v>
      </c>
      <c r="I16" s="3">
        <v>449996551.95072275</v>
      </c>
      <c r="J16" s="3">
        <v>454305032.38973719</v>
      </c>
      <c r="K16" s="3">
        <v>457039578.17753196</v>
      </c>
      <c r="L16" s="3">
        <v>461679622.52108258</v>
      </c>
      <c r="M16" s="3">
        <v>464361194.05150419</v>
      </c>
      <c r="N16" s="3">
        <v>471226878.0325343</v>
      </c>
      <c r="O16" s="3">
        <v>477531619.59318501</v>
      </c>
    </row>
    <row r="17" spans="1:15">
      <c r="A17" s="6" t="s">
        <v>95</v>
      </c>
      <c r="B17" s="4" t="s">
        <v>169</v>
      </c>
      <c r="C17" s="5">
        <v>11723471</v>
      </c>
      <c r="D17" s="3">
        <v>10565235</v>
      </c>
      <c r="E17" s="3">
        <v>9224429</v>
      </c>
      <c r="F17" s="3">
        <v>7671128</v>
      </c>
      <c r="G17" s="3">
        <v>5066762</v>
      </c>
      <c r="H17" s="3">
        <v>5060562</v>
      </c>
      <c r="I17" s="3">
        <v>4621866</v>
      </c>
      <c r="J17" s="3">
        <v>4405145</v>
      </c>
      <c r="K17" s="3">
        <v>4186611</v>
      </c>
      <c r="L17" s="3">
        <v>3450496</v>
      </c>
      <c r="M17" s="3">
        <v>149745</v>
      </c>
      <c r="N17" s="3">
        <v>0</v>
      </c>
      <c r="O17" s="3">
        <v>0</v>
      </c>
    </row>
    <row r="18" spans="1:15" ht="59.25" customHeight="1">
      <c r="A18" s="6" t="s">
        <v>96</v>
      </c>
      <c r="B18" s="4" t="s">
        <v>176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</row>
    <row r="19" spans="1:15" ht="45">
      <c r="A19" s="6" t="s">
        <v>97</v>
      </c>
      <c r="B19" s="4" t="s">
        <v>170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</row>
    <row r="20" spans="1:15">
      <c r="A20" s="6" t="s">
        <v>98</v>
      </c>
      <c r="B20" s="6" t="s">
        <v>171</v>
      </c>
      <c r="C20" s="3">
        <v>19192779</v>
      </c>
      <c r="D20" s="3">
        <v>21227599</v>
      </c>
      <c r="E20" s="3">
        <v>22623769</v>
      </c>
      <c r="F20" s="3">
        <v>22216769</v>
      </c>
      <c r="G20" s="3">
        <v>20071000</v>
      </c>
      <c r="H20" s="3">
        <v>17236000</v>
      </c>
      <c r="I20" s="3">
        <v>14502000</v>
      </c>
      <c r="J20" s="3">
        <v>11702000</v>
      </c>
      <c r="K20" s="3">
        <v>9745000</v>
      </c>
      <c r="L20" s="3">
        <v>7263000</v>
      </c>
      <c r="M20" s="3">
        <v>5230000</v>
      </c>
      <c r="N20" s="3">
        <v>4069800</v>
      </c>
      <c r="O20" s="3">
        <v>2035400</v>
      </c>
    </row>
    <row r="21" spans="1:15" ht="22.5">
      <c r="A21" s="6" t="s">
        <v>99</v>
      </c>
      <c r="B21" s="4" t="s">
        <v>172</v>
      </c>
      <c r="C21" s="3">
        <v>19192779</v>
      </c>
      <c r="D21" s="3">
        <v>21227599</v>
      </c>
      <c r="E21" s="3">
        <v>22623769</v>
      </c>
      <c r="F21" s="3">
        <v>22216769</v>
      </c>
      <c r="G21" s="3">
        <v>20071000</v>
      </c>
      <c r="H21" s="3">
        <v>17236000</v>
      </c>
      <c r="I21" s="3">
        <v>14502000</v>
      </c>
      <c r="J21" s="3">
        <v>11702000</v>
      </c>
      <c r="K21" s="3">
        <v>9745000</v>
      </c>
      <c r="L21" s="3">
        <v>7263000</v>
      </c>
      <c r="M21" s="3">
        <v>5230000</v>
      </c>
      <c r="N21" s="3">
        <v>4069800</v>
      </c>
      <c r="O21" s="3">
        <v>2035400</v>
      </c>
    </row>
    <row r="22" spans="1:15">
      <c r="A22" s="13" t="s">
        <v>100</v>
      </c>
      <c r="B22" s="13" t="s">
        <v>17</v>
      </c>
      <c r="C22" s="3">
        <v>916051491</v>
      </c>
      <c r="D22" s="3">
        <v>749159802</v>
      </c>
      <c r="E22" s="3">
        <v>274436195.09218252</v>
      </c>
      <c r="F22" s="3">
        <v>92873027.099999994</v>
      </c>
      <c r="G22" s="3">
        <v>86341454.800000012</v>
      </c>
      <c r="H22" s="3">
        <v>92005512.200000003</v>
      </c>
      <c r="I22" s="3">
        <v>99865069</v>
      </c>
      <c r="J22" s="3">
        <v>119462713.80000001</v>
      </c>
      <c r="K22" s="3">
        <v>116872413.79999998</v>
      </c>
      <c r="L22" s="3">
        <v>150504147.19999999</v>
      </c>
      <c r="M22" s="3">
        <v>148457451.09999999</v>
      </c>
      <c r="N22" s="3">
        <v>154479340</v>
      </c>
      <c r="O22" s="3">
        <v>173319922.79999998</v>
      </c>
    </row>
    <row r="23" spans="1:15" s="50" customFormat="1" ht="15">
      <c r="A23" s="45" t="s">
        <v>101</v>
      </c>
      <c r="B23" s="45" t="s">
        <v>18</v>
      </c>
      <c r="C23" s="49">
        <v>-78293152</v>
      </c>
      <c r="D23" s="49">
        <v>-30275977.74000001</v>
      </c>
      <c r="E23" s="49">
        <v>16291211.23161757</v>
      </c>
      <c r="F23" s="49">
        <v>34476639.990276098</v>
      </c>
      <c r="G23" s="49">
        <v>46444643.032081544</v>
      </c>
      <c r="H23" s="49">
        <v>46444642.98872304</v>
      </c>
      <c r="I23" s="49">
        <v>46444642.972497702</v>
      </c>
      <c r="J23" s="49">
        <v>34444643.011947632</v>
      </c>
      <c r="K23" s="49">
        <v>46444645.008186698</v>
      </c>
      <c r="L23" s="49">
        <v>20560000.004350305</v>
      </c>
      <c r="M23" s="49">
        <v>32559999.968437433</v>
      </c>
      <c r="N23" s="49">
        <v>32559999.989806056</v>
      </c>
      <c r="O23" s="49">
        <v>20559999.989602208</v>
      </c>
    </row>
    <row r="24" spans="1:15" s="50" customFormat="1" ht="15">
      <c r="A24" s="45" t="s">
        <v>102</v>
      </c>
      <c r="B24" s="45" t="s">
        <v>4</v>
      </c>
      <c r="C24" s="49">
        <v>86256020</v>
      </c>
      <c r="D24" s="49">
        <v>38238846</v>
      </c>
      <c r="E24" s="49">
        <v>1671656</v>
      </c>
      <c r="F24" s="49">
        <v>83360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</row>
    <row r="25" spans="1:15">
      <c r="A25" s="13" t="s">
        <v>103</v>
      </c>
      <c r="B25" s="14" t="s">
        <v>19</v>
      </c>
      <c r="C25" s="5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</row>
    <row r="26" spans="1:15">
      <c r="A26" s="13" t="s">
        <v>104</v>
      </c>
      <c r="B26" s="14" t="s">
        <v>20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</row>
    <row r="27" spans="1:15">
      <c r="A27" s="13" t="s">
        <v>105</v>
      </c>
      <c r="B27" s="14" t="s">
        <v>21</v>
      </c>
      <c r="C27" s="5">
        <v>49201665</v>
      </c>
      <c r="D27" s="5">
        <v>2500000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>
      <c r="A28" s="6" t="s">
        <v>106</v>
      </c>
      <c r="B28" s="4" t="s">
        <v>20</v>
      </c>
      <c r="C28" s="41">
        <v>41238797</v>
      </c>
      <c r="D28" s="41">
        <v>2500000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</row>
    <row r="29" spans="1:15" s="15" customFormat="1" ht="15">
      <c r="A29" s="16" t="s">
        <v>107</v>
      </c>
      <c r="B29" s="16" t="s">
        <v>22</v>
      </c>
      <c r="C29" s="17">
        <v>36111027</v>
      </c>
      <c r="D29" s="17">
        <v>33312190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</row>
    <row r="30" spans="1:15">
      <c r="A30" s="13" t="s">
        <v>108</v>
      </c>
      <c r="B30" s="14" t="s">
        <v>20</v>
      </c>
      <c r="C30" s="3">
        <v>36111027</v>
      </c>
      <c r="D30" s="3">
        <v>27775978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</row>
    <row r="31" spans="1:15">
      <c r="A31" s="13" t="s">
        <v>109</v>
      </c>
      <c r="B31" s="13" t="s">
        <v>3</v>
      </c>
      <c r="C31" s="18">
        <v>943328</v>
      </c>
      <c r="D31" s="19">
        <v>2426656</v>
      </c>
      <c r="E31" s="19">
        <v>1671656</v>
      </c>
      <c r="F31" s="19">
        <v>83360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</row>
    <row r="32" spans="1:15">
      <c r="A32" s="13" t="s">
        <v>110</v>
      </c>
      <c r="B32" s="4" t="s">
        <v>20</v>
      </c>
      <c r="C32" s="19">
        <v>943328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</row>
    <row r="33" spans="1:15" s="48" customFormat="1" ht="15">
      <c r="A33" s="45" t="s">
        <v>111</v>
      </c>
      <c r="B33" s="46" t="s">
        <v>23</v>
      </c>
      <c r="C33" s="51">
        <v>7962868</v>
      </c>
      <c r="D33" s="51">
        <v>7962868</v>
      </c>
      <c r="E33" s="51">
        <v>17962867</v>
      </c>
      <c r="F33" s="51">
        <v>34560000</v>
      </c>
      <c r="G33" s="51">
        <v>46444643</v>
      </c>
      <c r="H33" s="51">
        <v>46444643</v>
      </c>
      <c r="I33" s="51">
        <v>46444643</v>
      </c>
      <c r="J33" s="51">
        <v>34444643</v>
      </c>
      <c r="K33" s="51">
        <v>46444645</v>
      </c>
      <c r="L33" s="51">
        <v>20560000</v>
      </c>
      <c r="M33" s="51">
        <v>32560000</v>
      </c>
      <c r="N33" s="51">
        <v>32560000</v>
      </c>
      <c r="O33" s="51">
        <v>20560000</v>
      </c>
    </row>
    <row r="34" spans="1:15" ht="24.75" customHeight="1">
      <c r="A34" s="6" t="s">
        <v>112</v>
      </c>
      <c r="B34" s="4" t="s">
        <v>24</v>
      </c>
      <c r="C34" s="3">
        <v>7962868</v>
      </c>
      <c r="D34" s="3">
        <v>7962868</v>
      </c>
      <c r="E34" s="3">
        <v>17962867</v>
      </c>
      <c r="F34" s="3">
        <v>34560000</v>
      </c>
      <c r="G34" s="3">
        <v>46444643</v>
      </c>
      <c r="H34" s="3">
        <v>46444643</v>
      </c>
      <c r="I34" s="3">
        <v>46444643</v>
      </c>
      <c r="J34" s="3">
        <v>34444643</v>
      </c>
      <c r="K34" s="3">
        <v>46444645</v>
      </c>
      <c r="L34" s="3">
        <v>20560000</v>
      </c>
      <c r="M34" s="3">
        <v>32560000</v>
      </c>
      <c r="N34" s="3">
        <v>32560000</v>
      </c>
      <c r="O34" s="3">
        <v>20560000</v>
      </c>
    </row>
    <row r="35" spans="1:15" ht="71.25" customHeight="1">
      <c r="A35" s="6" t="s">
        <v>113</v>
      </c>
      <c r="B35" s="4" t="s">
        <v>25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</row>
    <row r="36" spans="1:15" ht="22.5">
      <c r="A36" s="6" t="s">
        <v>114</v>
      </c>
      <c r="B36" s="4" t="s">
        <v>26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</row>
    <row r="37" spans="1:15">
      <c r="A37" s="13" t="s">
        <v>115</v>
      </c>
      <c r="B37" s="14" t="s">
        <v>167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</row>
    <row r="38" spans="1:15" s="50" customFormat="1" ht="15">
      <c r="A38" s="45" t="s">
        <v>116</v>
      </c>
      <c r="B38" s="45" t="s">
        <v>27</v>
      </c>
      <c r="C38" s="49">
        <v>353636762</v>
      </c>
      <c r="D38" s="49">
        <v>378986084</v>
      </c>
      <c r="E38" s="49">
        <v>361023217</v>
      </c>
      <c r="F38" s="49">
        <v>326463217</v>
      </c>
      <c r="G38" s="49">
        <v>280018574</v>
      </c>
      <c r="H38" s="49">
        <v>233573931</v>
      </c>
      <c r="I38" s="49">
        <v>187129288</v>
      </c>
      <c r="J38" s="49">
        <v>152684645</v>
      </c>
      <c r="K38" s="49">
        <v>106240000</v>
      </c>
      <c r="L38" s="49">
        <v>85680000</v>
      </c>
      <c r="M38" s="49">
        <v>53120000</v>
      </c>
      <c r="N38" s="49">
        <v>20560000</v>
      </c>
      <c r="O38" s="49">
        <v>0</v>
      </c>
    </row>
    <row r="39" spans="1:15" ht="38.25" customHeight="1">
      <c r="A39" s="6" t="s">
        <v>117</v>
      </c>
      <c r="B39" s="4" t="s">
        <v>173</v>
      </c>
      <c r="C39" s="3">
        <v>0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15" ht="22.5">
      <c r="A40" s="6" t="s">
        <v>118</v>
      </c>
      <c r="B40" s="4" t="s">
        <v>28</v>
      </c>
      <c r="C40" s="3">
        <v>0</v>
      </c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</row>
    <row r="41" spans="1:15" s="350" customFormat="1" ht="22.5">
      <c r="A41" s="20" t="s">
        <v>119</v>
      </c>
      <c r="B41" s="21" t="s">
        <v>177</v>
      </c>
      <c r="C41" s="22">
        <v>0.24623118755248202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1:15" s="350" customFormat="1" ht="22.5">
      <c r="A42" s="20" t="s">
        <v>120</v>
      </c>
      <c r="B42" s="21" t="s">
        <v>178</v>
      </c>
      <c r="C42" s="22">
        <v>0.24623118755248202</v>
      </c>
      <c r="D42" s="22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s="55" customFormat="1" ht="46.5" customHeight="1">
      <c r="A43" s="52" t="s">
        <v>121</v>
      </c>
      <c r="B43" s="53" t="s">
        <v>174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</row>
    <row r="44" spans="1:15" s="50" customFormat="1" ht="24" customHeight="1">
      <c r="A44" s="52" t="s">
        <v>122</v>
      </c>
      <c r="B44" s="53" t="s">
        <v>29</v>
      </c>
      <c r="C44" s="356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8"/>
    </row>
    <row r="45" spans="1:15" s="350" customFormat="1">
      <c r="A45" s="20" t="s">
        <v>123</v>
      </c>
      <c r="B45" s="21" t="s">
        <v>30</v>
      </c>
      <c r="C45" s="23">
        <v>69450980</v>
      </c>
      <c r="D45" s="23">
        <v>127376629.25999999</v>
      </c>
      <c r="E45" s="23">
        <v>124064939.32380009</v>
      </c>
      <c r="F45" s="23">
        <v>119349667.09027606</v>
      </c>
      <c r="G45" s="23">
        <v>128786097.83208156</v>
      </c>
      <c r="H45" s="23">
        <v>137450155.18872309</v>
      </c>
      <c r="I45" s="23">
        <v>145309711.97249764</v>
      </c>
      <c r="J45" s="23">
        <v>152907356.81194764</v>
      </c>
      <c r="K45" s="23">
        <v>162317058.80818665</v>
      </c>
      <c r="L45" s="23">
        <v>170064147.20435029</v>
      </c>
      <c r="M45" s="23">
        <v>180017451.0684374</v>
      </c>
      <c r="N45" s="23">
        <v>186039339.98980612</v>
      </c>
      <c r="O45" s="23">
        <v>192879922.78960222</v>
      </c>
    </row>
    <row r="46" spans="1:15" s="350" customFormat="1" ht="34.5" customHeight="1">
      <c r="A46" s="20" t="s">
        <v>124</v>
      </c>
      <c r="B46" s="21" t="s">
        <v>31</v>
      </c>
      <c r="C46" s="23">
        <v>118652645</v>
      </c>
      <c r="D46" s="23">
        <v>129876629.25999999</v>
      </c>
      <c r="E46" s="23">
        <v>124064939.32380009</v>
      </c>
      <c r="F46" s="23">
        <v>119349667.09027606</v>
      </c>
      <c r="G46" s="23">
        <v>128786097.83208156</v>
      </c>
      <c r="H46" s="23">
        <v>137450155.18872309</v>
      </c>
      <c r="I46" s="23">
        <v>145309711.97249764</v>
      </c>
      <c r="J46" s="23">
        <v>152907356.81194764</v>
      </c>
      <c r="K46" s="23">
        <v>162317058.80818665</v>
      </c>
      <c r="L46" s="23">
        <v>170064147.20435029</v>
      </c>
      <c r="M46" s="23">
        <v>180017451.0684374</v>
      </c>
      <c r="N46" s="23">
        <v>186039339.98980612</v>
      </c>
      <c r="O46" s="23">
        <v>192879922.78960222</v>
      </c>
    </row>
    <row r="47" spans="1:15" s="50" customFormat="1" ht="15">
      <c r="A47" s="52" t="s">
        <v>125</v>
      </c>
      <c r="B47" s="53" t="s">
        <v>32</v>
      </c>
      <c r="C47" s="359"/>
      <c r="D47" s="360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1"/>
    </row>
    <row r="48" spans="1:15" s="350" customFormat="1" ht="33.75">
      <c r="A48" s="20" t="s">
        <v>126</v>
      </c>
      <c r="B48" s="24" t="s">
        <v>179</v>
      </c>
      <c r="C48" s="60">
        <v>2.7070860342661658E-2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</row>
    <row r="49" spans="1:15" s="350" customFormat="1" ht="33.75">
      <c r="A49" s="20" t="s">
        <v>127</v>
      </c>
      <c r="B49" s="24" t="s">
        <v>180</v>
      </c>
      <c r="C49" s="60">
        <v>2.7070860342661658E-2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</row>
    <row r="50" spans="1:15" ht="50.25" customHeight="1">
      <c r="A50" s="13" t="s">
        <v>128</v>
      </c>
      <c r="B50" s="14" t="s">
        <v>33</v>
      </c>
      <c r="C50" s="61">
        <v>2.7070860342661658E-2</v>
      </c>
      <c r="D50" s="61">
        <v>3.1579395369385449E-2</v>
      </c>
      <c r="E50" s="61">
        <v>6.5464690293499606E-2</v>
      </c>
      <c r="F50" s="61">
        <v>0.11251321930494776</v>
      </c>
      <c r="G50" s="61">
        <v>0.12423407265670983</v>
      </c>
      <c r="H50" s="61">
        <v>0.11757997817957547</v>
      </c>
      <c r="I50" s="61">
        <v>0.10995777332374713</v>
      </c>
      <c r="J50" s="61">
        <v>8.3115353941330017E-2</v>
      </c>
      <c r="K50" s="61">
        <v>9.7325074643136181E-2</v>
      </c>
      <c r="L50" s="61">
        <v>4.9425213643068407E-2</v>
      </c>
      <c r="M50" s="61">
        <v>5.8786799481022521E-2</v>
      </c>
      <c r="N50" s="61">
        <v>5.5645875478842886E-2</v>
      </c>
      <c r="O50" s="61">
        <v>3.3653576940025021E-2</v>
      </c>
    </row>
    <row r="51" spans="1:15" s="350" customFormat="1" ht="49.5" customHeight="1">
      <c r="A51" s="20" t="s">
        <v>129</v>
      </c>
      <c r="B51" s="21" t="s">
        <v>34</v>
      </c>
      <c r="C51" s="60">
        <v>2.7070860342661658E-2</v>
      </c>
      <c r="D51" s="60">
        <v>3.1579395369385449E-2</v>
      </c>
      <c r="E51" s="60">
        <v>6.5464690293499606E-2</v>
      </c>
      <c r="F51" s="60">
        <v>0.11251321930494776</v>
      </c>
      <c r="G51" s="60">
        <v>0.12423407265670983</v>
      </c>
      <c r="H51" s="60">
        <v>0.11757997817957547</v>
      </c>
      <c r="I51" s="60">
        <v>0.10995777332374713</v>
      </c>
      <c r="J51" s="60">
        <v>8.3115353941330017E-2</v>
      </c>
      <c r="K51" s="60">
        <v>9.7325074643136181E-2</v>
      </c>
      <c r="L51" s="60">
        <v>4.9425213643068407E-2</v>
      </c>
      <c r="M51" s="60">
        <v>5.8786799481022521E-2</v>
      </c>
      <c r="N51" s="60">
        <v>5.5645875478842886E-2</v>
      </c>
      <c r="O51" s="60">
        <v>3.3653576940025021E-2</v>
      </c>
    </row>
    <row r="52" spans="1:15" s="350" customFormat="1" ht="33.75">
      <c r="A52" s="20" t="s">
        <v>130</v>
      </c>
      <c r="B52" s="21" t="s">
        <v>35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</row>
    <row r="53" spans="1:15" s="350" customFormat="1" ht="48" customHeight="1">
      <c r="A53" s="20" t="s">
        <v>131</v>
      </c>
      <c r="B53" s="21" t="s">
        <v>36</v>
      </c>
      <c r="C53" s="63">
        <v>2.7070860342661658E-2</v>
      </c>
      <c r="D53" s="63">
        <v>3.1579395369385449E-2</v>
      </c>
      <c r="E53" s="63">
        <v>6.5464690293499606E-2</v>
      </c>
      <c r="F53" s="63">
        <v>0.11251321930494776</v>
      </c>
      <c r="G53" s="63">
        <v>0.12423407265670983</v>
      </c>
      <c r="H53" s="63">
        <v>0.11757997817957547</v>
      </c>
      <c r="I53" s="63">
        <v>0.10995777332374713</v>
      </c>
      <c r="J53" s="63">
        <v>8.3115353941330017E-2</v>
      </c>
      <c r="K53" s="63">
        <v>9.7325074643136181E-2</v>
      </c>
      <c r="L53" s="63">
        <v>4.9425213643068407E-2</v>
      </c>
      <c r="M53" s="63">
        <v>5.8786799481022521E-2</v>
      </c>
      <c r="N53" s="63">
        <v>5.5645875478842886E-2</v>
      </c>
      <c r="O53" s="63">
        <v>3.3653576940025021E-2</v>
      </c>
    </row>
    <row r="54" spans="1:15" s="350" customFormat="1" ht="50.25" customHeight="1">
      <c r="A54" s="20" t="s">
        <v>132</v>
      </c>
      <c r="B54" s="25" t="s">
        <v>37</v>
      </c>
      <c r="C54" s="64">
        <v>0.13562475090078141</v>
      </c>
      <c r="D54" s="64">
        <v>0.10488990104565556</v>
      </c>
      <c r="E54" s="64">
        <v>9.3600692481389428E-2</v>
      </c>
      <c r="F54" s="64">
        <v>0.1159</v>
      </c>
      <c r="G54" s="64">
        <v>0.16746974289723193</v>
      </c>
      <c r="H54" s="64">
        <v>0.20617828570564864</v>
      </c>
      <c r="I54" s="64">
        <v>0.22638464278720649</v>
      </c>
      <c r="J54" s="64">
        <v>0.23580804521272739</v>
      </c>
      <c r="K54" s="64">
        <v>0.24507465806613293</v>
      </c>
      <c r="L54" s="64">
        <v>0.25389063075604179</v>
      </c>
      <c r="M54" s="64">
        <v>0.26222161144348316</v>
      </c>
      <c r="N54" s="64">
        <v>0.27136622832831198</v>
      </c>
      <c r="O54" s="64">
        <v>0.27832495519917205</v>
      </c>
    </row>
    <row r="55" spans="1:15" s="350" customFormat="1" ht="48.75" customHeight="1">
      <c r="A55" s="20" t="s">
        <v>133</v>
      </c>
      <c r="B55" s="25" t="s">
        <v>38</v>
      </c>
      <c r="C55" s="64">
        <v>0.14678708433770118</v>
      </c>
      <c r="D55" s="64">
        <v>0.11600000000000001</v>
      </c>
      <c r="E55" s="64">
        <v>0.1047</v>
      </c>
      <c r="F55" s="64">
        <v>0.1159</v>
      </c>
      <c r="G55" s="64">
        <v>0.16746974289723193</v>
      </c>
      <c r="H55" s="64">
        <v>0.20617828570564864</v>
      </c>
      <c r="I55" s="64">
        <v>0.22638464278720649</v>
      </c>
      <c r="J55" s="64">
        <v>0.23580804521272739</v>
      </c>
      <c r="K55" s="64">
        <v>0.24507465806613293</v>
      </c>
      <c r="L55" s="64">
        <v>0.25389063075604179</v>
      </c>
      <c r="M55" s="64">
        <v>0.26222161144348316</v>
      </c>
      <c r="N55" s="64">
        <v>0.27136622832831198</v>
      </c>
      <c r="O55" s="64">
        <v>0.27832495519917205</v>
      </c>
    </row>
    <row r="56" spans="1:15" s="350" customFormat="1" ht="57.75" customHeight="1">
      <c r="A56" s="20" t="s">
        <v>134</v>
      </c>
      <c r="B56" s="25" t="s">
        <v>39</v>
      </c>
      <c r="C56" s="64" t="s">
        <v>168</v>
      </c>
      <c r="D56" s="64" t="s">
        <v>168</v>
      </c>
      <c r="E56" s="64" t="s">
        <v>168</v>
      </c>
      <c r="F56" s="64" t="s">
        <v>168</v>
      </c>
      <c r="G56" s="64" t="s">
        <v>168</v>
      </c>
      <c r="H56" s="64" t="s">
        <v>168</v>
      </c>
      <c r="I56" s="64" t="s">
        <v>168</v>
      </c>
      <c r="J56" s="64" t="s">
        <v>168</v>
      </c>
      <c r="K56" s="64" t="s">
        <v>168</v>
      </c>
      <c r="L56" s="64" t="s">
        <v>168</v>
      </c>
      <c r="M56" s="64" t="s">
        <v>168</v>
      </c>
      <c r="N56" s="64" t="s">
        <v>168</v>
      </c>
      <c r="O56" s="64" t="s">
        <v>168</v>
      </c>
    </row>
    <row r="57" spans="1:15" s="350" customFormat="1" ht="55.5" customHeight="1">
      <c r="A57" s="20" t="s">
        <v>135</v>
      </c>
      <c r="B57" s="25" t="s">
        <v>40</v>
      </c>
      <c r="C57" s="64" t="s">
        <v>168</v>
      </c>
      <c r="D57" s="64" t="s">
        <v>168</v>
      </c>
      <c r="E57" s="64" t="s">
        <v>168</v>
      </c>
      <c r="F57" s="64" t="s">
        <v>168</v>
      </c>
      <c r="G57" s="64" t="s">
        <v>168</v>
      </c>
      <c r="H57" s="64" t="s">
        <v>168</v>
      </c>
      <c r="I57" s="64" t="s">
        <v>168</v>
      </c>
      <c r="J57" s="64" t="s">
        <v>168</v>
      </c>
      <c r="K57" s="64" t="s">
        <v>168</v>
      </c>
      <c r="L57" s="64" t="s">
        <v>168</v>
      </c>
      <c r="M57" s="64" t="s">
        <v>168</v>
      </c>
      <c r="N57" s="64" t="s">
        <v>168</v>
      </c>
      <c r="O57" s="64" t="s">
        <v>168</v>
      </c>
    </row>
    <row r="58" spans="1:15" s="350" customFormat="1">
      <c r="A58" s="26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s="50" customFormat="1" ht="15">
      <c r="A59" s="52" t="s">
        <v>136</v>
      </c>
      <c r="B59" s="56" t="s">
        <v>41</v>
      </c>
      <c r="C59" s="362"/>
      <c r="D59" s="363"/>
      <c r="E59" s="363"/>
      <c r="F59" s="363"/>
      <c r="G59" s="363"/>
      <c r="H59" s="363"/>
      <c r="I59" s="363"/>
      <c r="J59" s="363"/>
      <c r="K59" s="363"/>
      <c r="L59" s="363"/>
      <c r="M59" s="363"/>
      <c r="N59" s="363"/>
      <c r="O59" s="364"/>
    </row>
    <row r="60" spans="1:15" s="350" customFormat="1">
      <c r="A60" s="20" t="s">
        <v>137</v>
      </c>
      <c r="B60" s="25" t="s">
        <v>42</v>
      </c>
      <c r="C60" s="5">
        <v>0</v>
      </c>
      <c r="D60" s="5">
        <v>0</v>
      </c>
      <c r="E60" s="5">
        <v>16291211.23161757</v>
      </c>
      <c r="F60" s="5">
        <v>34476639.990276098</v>
      </c>
      <c r="G60" s="5">
        <v>46444643.032081544</v>
      </c>
      <c r="H60" s="5">
        <v>46444642.98872304</v>
      </c>
      <c r="I60" s="5">
        <v>46444642.972497702</v>
      </c>
      <c r="J60" s="5">
        <v>34444643.011947632</v>
      </c>
      <c r="K60" s="5">
        <v>46444645.008186698</v>
      </c>
      <c r="L60" s="5">
        <v>20560000.004350305</v>
      </c>
      <c r="M60" s="5">
        <v>32559999.968437433</v>
      </c>
      <c r="N60" s="5">
        <v>32559999.989806056</v>
      </c>
      <c r="O60" s="5">
        <v>20559999.989602208</v>
      </c>
    </row>
    <row r="61" spans="1:15" s="350" customFormat="1">
      <c r="A61" s="26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s="50" customFormat="1" ht="22.5">
      <c r="A62" s="52" t="s">
        <v>138</v>
      </c>
      <c r="B62" s="56" t="s">
        <v>43</v>
      </c>
      <c r="C62" s="362"/>
      <c r="D62" s="363"/>
      <c r="E62" s="363"/>
      <c r="F62" s="363"/>
      <c r="G62" s="363"/>
      <c r="H62" s="363"/>
      <c r="I62" s="363"/>
      <c r="J62" s="363"/>
      <c r="K62" s="363"/>
      <c r="L62" s="363"/>
      <c r="M62" s="363"/>
      <c r="N62" s="363"/>
      <c r="O62" s="364"/>
    </row>
    <row r="63" spans="1:15" ht="14.25" customHeight="1">
      <c r="A63" s="6" t="s">
        <v>139</v>
      </c>
      <c r="B63" s="4" t="s">
        <v>44</v>
      </c>
      <c r="C63" s="5">
        <v>132900278</v>
      </c>
      <c r="D63" s="3">
        <v>134229280.78</v>
      </c>
      <c r="E63" s="3">
        <v>135571573.5878</v>
      </c>
      <c r="F63" s="3">
        <v>182428262.05955601</v>
      </c>
      <c r="G63" s="3">
        <v>186076827.30074713</v>
      </c>
      <c r="H63" s="3">
        <v>189798363.84676206</v>
      </c>
      <c r="I63" s="3">
        <v>193594331.12369731</v>
      </c>
      <c r="J63" s="3">
        <v>197466217.74617127</v>
      </c>
      <c r="K63" s="3">
        <v>201415542.10109469</v>
      </c>
      <c r="L63" s="3">
        <v>205443852.94311661</v>
      </c>
      <c r="M63" s="3">
        <v>209552730.00197893</v>
      </c>
      <c r="N63" s="3">
        <v>213743784.60201851</v>
      </c>
      <c r="O63" s="3">
        <v>218018660.29405889</v>
      </c>
    </row>
    <row r="64" spans="1:15" ht="22.5">
      <c r="A64" s="6" t="s">
        <v>140</v>
      </c>
      <c r="B64" s="4" t="s">
        <v>45</v>
      </c>
      <c r="C64" s="5">
        <v>74019931</v>
      </c>
      <c r="D64" s="3">
        <v>74760130.310000002</v>
      </c>
      <c r="E64" s="3">
        <v>75507731.613100007</v>
      </c>
      <c r="F64" s="3">
        <v>77017886.245362014</v>
      </c>
      <c r="G64" s="3">
        <v>78558243.970269248</v>
      </c>
      <c r="H64" s="3">
        <v>80129408.849674627</v>
      </c>
      <c r="I64" s="3">
        <v>81731997.026668116</v>
      </c>
      <c r="J64" s="3">
        <v>83366636.967201486</v>
      </c>
      <c r="K64" s="3">
        <v>85033969.706545517</v>
      </c>
      <c r="L64" s="3">
        <v>86734649.100676432</v>
      </c>
      <c r="M64" s="3">
        <v>88469342.082689956</v>
      </c>
      <c r="N64" s="3">
        <v>90238728.92434375</v>
      </c>
      <c r="O64" s="3">
        <v>92043503.502830625</v>
      </c>
    </row>
    <row r="65" spans="1:15" ht="14.25" customHeight="1">
      <c r="A65" s="6" t="s">
        <v>141</v>
      </c>
      <c r="B65" s="4" t="s">
        <v>46</v>
      </c>
      <c r="C65" s="5">
        <v>842661913</v>
      </c>
      <c r="D65" s="5">
        <v>823324143</v>
      </c>
      <c r="E65" s="5">
        <v>257229070</v>
      </c>
      <c r="F65" s="5">
        <v>22696473</v>
      </c>
      <c r="G65" s="5">
        <v>18279708</v>
      </c>
      <c r="H65" s="5">
        <v>18640922</v>
      </c>
      <c r="I65" s="5">
        <v>6048413</v>
      </c>
      <c r="J65" s="5">
        <v>5820597</v>
      </c>
      <c r="K65" s="5">
        <v>200000</v>
      </c>
      <c r="L65" s="5">
        <v>200000</v>
      </c>
      <c r="M65" s="5">
        <v>200000</v>
      </c>
      <c r="N65" s="5">
        <v>200000</v>
      </c>
      <c r="O65" s="5">
        <v>200000</v>
      </c>
    </row>
    <row r="66" spans="1:15" ht="14.25" customHeight="1">
      <c r="A66" s="6" t="s">
        <v>142</v>
      </c>
      <c r="B66" s="4" t="s">
        <v>47</v>
      </c>
      <c r="C66" s="5">
        <v>133253291</v>
      </c>
      <c r="D66" s="5">
        <v>119614902</v>
      </c>
      <c r="E66" s="5">
        <v>50197979</v>
      </c>
      <c r="F66" s="5">
        <v>9696473</v>
      </c>
      <c r="G66" s="5">
        <v>5279708</v>
      </c>
      <c r="H66" s="5">
        <v>3640922</v>
      </c>
      <c r="I66" s="5">
        <v>3221814</v>
      </c>
      <c r="J66" s="5">
        <v>2993998</v>
      </c>
      <c r="K66" s="5">
        <v>200000</v>
      </c>
      <c r="L66" s="5">
        <v>200000</v>
      </c>
      <c r="M66" s="5">
        <v>200000</v>
      </c>
      <c r="N66" s="5">
        <v>200000</v>
      </c>
      <c r="O66" s="5">
        <v>200000</v>
      </c>
    </row>
    <row r="67" spans="1:15" ht="14.25" customHeight="1">
      <c r="A67" s="6" t="s">
        <v>143</v>
      </c>
      <c r="B67" s="6" t="s">
        <v>48</v>
      </c>
      <c r="C67" s="5">
        <v>709408622</v>
      </c>
      <c r="D67" s="3">
        <v>703709241</v>
      </c>
      <c r="E67" s="3">
        <v>207031091</v>
      </c>
      <c r="F67" s="3">
        <v>13000000</v>
      </c>
      <c r="G67" s="3">
        <v>13000000</v>
      </c>
      <c r="H67" s="3">
        <v>15000000</v>
      </c>
      <c r="I67" s="3">
        <v>2826599</v>
      </c>
      <c r="J67" s="3">
        <v>2826599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</row>
    <row r="68" spans="1:15" ht="14.25" customHeight="1">
      <c r="A68" s="6" t="s">
        <v>144</v>
      </c>
      <c r="B68" s="6" t="s">
        <v>49</v>
      </c>
      <c r="C68" s="5">
        <v>717157811</v>
      </c>
      <c r="D68" s="3">
        <v>697119101</v>
      </c>
      <c r="E68" s="3">
        <v>204421826</v>
      </c>
      <c r="F68" s="3">
        <v>13000000</v>
      </c>
      <c r="G68" s="3">
        <v>13000000</v>
      </c>
      <c r="H68" s="3">
        <v>15000000</v>
      </c>
      <c r="I68" s="3">
        <v>2826599</v>
      </c>
      <c r="J68" s="3">
        <v>2826599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</row>
    <row r="69" spans="1:15" ht="14.25" customHeight="1">
      <c r="A69" s="6" t="s">
        <v>145</v>
      </c>
      <c r="B69" s="6" t="s">
        <v>50</v>
      </c>
      <c r="C69" s="5">
        <v>20461438</v>
      </c>
      <c r="D69" s="3">
        <v>45450561</v>
      </c>
      <c r="E69" s="3">
        <v>67405104.092182502</v>
      </c>
      <c r="F69" s="3">
        <v>79873027.099999994</v>
      </c>
      <c r="G69" s="3">
        <v>73341454.800000012</v>
      </c>
      <c r="H69" s="3">
        <v>77005512.200000003</v>
      </c>
      <c r="I69" s="3">
        <v>97038470</v>
      </c>
      <c r="J69" s="3">
        <v>116636114.80000001</v>
      </c>
      <c r="K69" s="3">
        <v>116872413.79999998</v>
      </c>
      <c r="L69" s="3">
        <v>150504147.19999999</v>
      </c>
      <c r="M69" s="3">
        <v>148457451.09999999</v>
      </c>
      <c r="N69" s="3">
        <v>154479340</v>
      </c>
      <c r="O69" s="3">
        <v>173319922.79999998</v>
      </c>
    </row>
    <row r="70" spans="1:15" ht="14.25" customHeight="1">
      <c r="A70" s="6" t="s">
        <v>146</v>
      </c>
      <c r="B70" s="6" t="s">
        <v>51</v>
      </c>
      <c r="C70" s="5">
        <v>176059242</v>
      </c>
      <c r="D70" s="3">
        <v>6590140</v>
      </c>
      <c r="E70" s="3">
        <v>2609265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</row>
    <row r="71" spans="1:15">
      <c r="A71" s="29"/>
      <c r="B71" s="29"/>
      <c r="C71" s="30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</row>
    <row r="72" spans="1:15" s="50" customFormat="1" ht="22.5">
      <c r="A72" s="45" t="s">
        <v>147</v>
      </c>
      <c r="B72" s="46" t="s">
        <v>52</v>
      </c>
      <c r="C72" s="351"/>
      <c r="D72" s="352"/>
      <c r="E72" s="352"/>
      <c r="F72" s="352"/>
      <c r="G72" s="352"/>
      <c r="H72" s="352"/>
      <c r="I72" s="352"/>
      <c r="J72" s="352"/>
      <c r="K72" s="352"/>
      <c r="L72" s="352"/>
      <c r="M72" s="352"/>
      <c r="N72" s="352"/>
      <c r="O72" s="353"/>
    </row>
    <row r="73" spans="1:15" s="350" customFormat="1" ht="22.5">
      <c r="A73" s="16" t="s">
        <v>148</v>
      </c>
      <c r="B73" s="32" t="s">
        <v>53</v>
      </c>
      <c r="C73" s="5">
        <v>95336368</v>
      </c>
      <c r="D73" s="5">
        <v>72683387</v>
      </c>
      <c r="E73" s="5">
        <v>24805639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</row>
    <row r="74" spans="1:15" s="350" customFormat="1">
      <c r="A74" s="16" t="s">
        <v>55</v>
      </c>
      <c r="B74" s="32" t="s">
        <v>54</v>
      </c>
      <c r="C74" s="5">
        <v>95336368</v>
      </c>
      <c r="D74" s="5">
        <v>72683387</v>
      </c>
      <c r="E74" s="5">
        <v>24805639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</row>
    <row r="75" spans="1:15" s="350" customFormat="1" ht="25.5" customHeight="1">
      <c r="A75" s="16" t="s">
        <v>470</v>
      </c>
      <c r="B75" s="32" t="s">
        <v>56</v>
      </c>
      <c r="C75" s="5">
        <v>29315237</v>
      </c>
      <c r="D75" s="5">
        <v>36323974</v>
      </c>
      <c r="E75" s="5">
        <v>1114245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</row>
    <row r="76" spans="1:15" s="350" customFormat="1" ht="22.5">
      <c r="A76" s="16" t="s">
        <v>149</v>
      </c>
      <c r="B76" s="32" t="s">
        <v>57</v>
      </c>
      <c r="C76" s="5">
        <v>679978340</v>
      </c>
      <c r="D76" s="5">
        <v>539935479</v>
      </c>
      <c r="E76" s="5">
        <v>140117479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</row>
    <row r="77" spans="1:15" s="350" customFormat="1">
      <c r="A77" s="16" t="s">
        <v>150</v>
      </c>
      <c r="B77" s="32" t="s">
        <v>58</v>
      </c>
      <c r="C77" s="5">
        <v>679978340</v>
      </c>
      <c r="D77" s="5">
        <v>539935479</v>
      </c>
      <c r="E77" s="5">
        <v>140117479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</row>
    <row r="78" spans="1:15" s="350" customFormat="1" ht="23.25" customHeight="1">
      <c r="A78" s="16" t="s">
        <v>151</v>
      </c>
      <c r="B78" s="32" t="s">
        <v>59</v>
      </c>
      <c r="C78" s="5">
        <v>408906760</v>
      </c>
      <c r="D78" s="5">
        <v>409324780</v>
      </c>
      <c r="E78" s="5">
        <v>89063231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</row>
    <row r="79" spans="1:15" s="350" customFormat="1" ht="22.5">
      <c r="A79" s="16" t="s">
        <v>152</v>
      </c>
      <c r="B79" s="32" t="s">
        <v>60</v>
      </c>
      <c r="C79" s="5">
        <v>108610613</v>
      </c>
      <c r="D79" s="5">
        <v>75591391</v>
      </c>
      <c r="E79" s="5">
        <v>32864919</v>
      </c>
      <c r="F79" s="5">
        <v>2709303</v>
      </c>
      <c r="G79" s="5">
        <v>2020519</v>
      </c>
      <c r="H79" s="5">
        <v>1765431</v>
      </c>
      <c r="I79" s="5">
        <v>1346323</v>
      </c>
      <c r="J79" s="5">
        <v>1118507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</row>
    <row r="80" spans="1:15" s="350" customFormat="1" ht="15" customHeight="1">
      <c r="A80" s="16" t="s">
        <v>153</v>
      </c>
      <c r="B80" s="32" t="s">
        <v>61</v>
      </c>
      <c r="C80" s="5">
        <v>108610613</v>
      </c>
      <c r="D80" s="5">
        <v>75591391</v>
      </c>
      <c r="E80" s="5">
        <v>32864919</v>
      </c>
      <c r="F80" s="5">
        <v>2709303</v>
      </c>
      <c r="G80" s="5">
        <v>2020519</v>
      </c>
      <c r="H80" s="5">
        <v>1765431</v>
      </c>
      <c r="I80" s="5">
        <v>1346323</v>
      </c>
      <c r="J80" s="5">
        <v>1118507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</row>
    <row r="81" spans="1:15" s="350" customFormat="1" ht="33.75">
      <c r="A81" s="16" t="s">
        <v>154</v>
      </c>
      <c r="B81" s="32" t="s">
        <v>62</v>
      </c>
      <c r="C81" s="5">
        <v>29630589</v>
      </c>
      <c r="D81" s="5">
        <v>36529094</v>
      </c>
      <c r="E81" s="5">
        <v>1309455</v>
      </c>
      <c r="F81" s="5">
        <v>231732</v>
      </c>
      <c r="G81" s="5">
        <v>231732</v>
      </c>
      <c r="H81" s="5">
        <v>231732</v>
      </c>
      <c r="I81" s="5">
        <v>231732</v>
      </c>
      <c r="J81" s="5">
        <v>231732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</row>
    <row r="82" spans="1:15" s="350" customFormat="1" ht="22.5">
      <c r="A82" s="16" t="s">
        <v>155</v>
      </c>
      <c r="B82" s="32" t="s">
        <v>63</v>
      </c>
      <c r="C82" s="5">
        <v>784714152</v>
      </c>
      <c r="D82" s="5">
        <v>659488034</v>
      </c>
      <c r="E82" s="5">
        <v>185486103</v>
      </c>
      <c r="F82" s="5">
        <v>0</v>
      </c>
      <c r="G82" s="5">
        <v>0</v>
      </c>
      <c r="H82" s="5">
        <v>0</v>
      </c>
      <c r="I82" s="5">
        <v>2826599</v>
      </c>
      <c r="J82" s="5">
        <v>2826599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</row>
    <row r="83" spans="1:15" s="350" customFormat="1" ht="15.75" customHeight="1">
      <c r="A83" s="16" t="s">
        <v>156</v>
      </c>
      <c r="B83" s="32" t="s">
        <v>64</v>
      </c>
      <c r="C83" s="5">
        <v>784714152</v>
      </c>
      <c r="D83" s="5">
        <v>659488034</v>
      </c>
      <c r="E83" s="5">
        <v>185486103</v>
      </c>
      <c r="F83" s="5">
        <v>0</v>
      </c>
      <c r="G83" s="5">
        <v>0</v>
      </c>
      <c r="H83" s="5">
        <v>0</v>
      </c>
      <c r="I83" s="5">
        <v>2826599</v>
      </c>
      <c r="J83" s="5">
        <v>2826599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</row>
    <row r="84" spans="1:15" s="350" customFormat="1" ht="33.75">
      <c r="A84" s="16" t="s">
        <v>157</v>
      </c>
      <c r="B84" s="32" t="s">
        <v>65</v>
      </c>
      <c r="C84" s="5">
        <v>493315544</v>
      </c>
      <c r="D84" s="5">
        <v>513229136</v>
      </c>
      <c r="E84" s="5">
        <v>130984349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</row>
    <row r="85" spans="1:15" s="350" customFormat="1">
      <c r="A85" s="33"/>
      <c r="B85" s="34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</row>
    <row r="86" spans="1:15" s="55" customFormat="1" ht="33.75">
      <c r="A86" s="45" t="s">
        <v>158</v>
      </c>
      <c r="B86" s="46" t="s">
        <v>66</v>
      </c>
      <c r="C86" s="351"/>
      <c r="D86" s="352"/>
      <c r="E86" s="352"/>
      <c r="F86" s="352"/>
      <c r="G86" s="352"/>
      <c r="H86" s="352"/>
      <c r="I86" s="352"/>
      <c r="J86" s="352"/>
      <c r="K86" s="352"/>
      <c r="L86" s="352"/>
      <c r="M86" s="352"/>
      <c r="N86" s="352"/>
      <c r="O86" s="353"/>
    </row>
    <row r="87" spans="1:15" s="350" customFormat="1" ht="33.75">
      <c r="A87" s="16" t="s">
        <v>159</v>
      </c>
      <c r="B87" s="32" t="s">
        <v>67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</row>
    <row r="88" spans="1:15" s="350" customFormat="1" ht="33.75">
      <c r="A88" s="16" t="s">
        <v>160</v>
      </c>
      <c r="B88" s="32" t="s">
        <v>68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</row>
    <row r="89" spans="1:15" s="350" customFormat="1" ht="22.5">
      <c r="A89" s="16" t="s">
        <v>161</v>
      </c>
      <c r="B89" s="32" t="s">
        <v>69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</row>
    <row r="90" spans="1:15" s="350" customFormat="1" ht="33.75">
      <c r="A90" s="16" t="s">
        <v>162</v>
      </c>
      <c r="B90" s="32" t="s">
        <v>70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</row>
    <row r="91" spans="1:15" s="350" customFormat="1" ht="33.75">
      <c r="A91" s="16" t="s">
        <v>163</v>
      </c>
      <c r="B91" s="32" t="s">
        <v>71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</row>
    <row r="92" spans="1:15" s="350" customFormat="1" ht="33.75">
      <c r="A92" s="16" t="s">
        <v>164</v>
      </c>
      <c r="B92" s="32" t="s">
        <v>72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</row>
    <row r="93" spans="1:15" s="350" customFormat="1" ht="22.5">
      <c r="A93" s="16" t="s">
        <v>165</v>
      </c>
      <c r="B93" s="32" t="s">
        <v>73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</row>
    <row r="94" spans="1:15" s="350" customFormat="1">
      <c r="A94" s="33"/>
      <c r="B94" s="34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</row>
    <row r="95" spans="1:15" s="55" customFormat="1">
      <c r="A95" s="45" t="s">
        <v>166</v>
      </c>
      <c r="B95" s="46" t="s">
        <v>74</v>
      </c>
      <c r="C95" s="351"/>
      <c r="D95" s="352"/>
      <c r="E95" s="352"/>
      <c r="F95" s="352"/>
      <c r="G95" s="352"/>
      <c r="H95" s="352"/>
      <c r="I95" s="352"/>
      <c r="J95" s="352"/>
      <c r="K95" s="352"/>
      <c r="L95" s="352"/>
      <c r="M95" s="352"/>
      <c r="N95" s="352"/>
      <c r="O95" s="353"/>
    </row>
    <row r="96" spans="1:15" s="350" customFormat="1" ht="23.25" customHeight="1">
      <c r="A96" s="16" t="s">
        <v>463</v>
      </c>
      <c r="B96" s="32" t="s">
        <v>75</v>
      </c>
      <c r="C96" s="5">
        <v>7962868</v>
      </c>
      <c r="D96" s="5">
        <v>7962868</v>
      </c>
      <c r="E96" s="5">
        <v>17962867</v>
      </c>
      <c r="F96" s="5">
        <v>34560000</v>
      </c>
      <c r="G96" s="5">
        <v>46444643</v>
      </c>
      <c r="H96" s="5">
        <v>46444643</v>
      </c>
      <c r="I96" s="5">
        <v>46444643</v>
      </c>
      <c r="J96" s="5">
        <v>34444643</v>
      </c>
      <c r="K96" s="5">
        <v>46444645</v>
      </c>
      <c r="L96" s="5">
        <v>20560000</v>
      </c>
      <c r="M96" s="5">
        <v>32560000</v>
      </c>
      <c r="N96" s="5">
        <v>32560000</v>
      </c>
      <c r="O96" s="5">
        <v>20560000</v>
      </c>
    </row>
    <row r="97" spans="1:15" s="350" customFormat="1" ht="15" customHeight="1">
      <c r="A97" s="16" t="s">
        <v>464</v>
      </c>
      <c r="B97" s="35" t="s">
        <v>76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</row>
    <row r="98" spans="1:15" s="350" customFormat="1">
      <c r="A98" s="16" t="s">
        <v>465</v>
      </c>
      <c r="B98" s="35" t="s">
        <v>77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</row>
    <row r="99" spans="1:15" s="350" customFormat="1" ht="14.25" customHeight="1">
      <c r="A99" s="16" t="s">
        <v>466</v>
      </c>
      <c r="B99" s="35" t="s">
        <v>78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</row>
    <row r="100" spans="1:15" s="350" customFormat="1" ht="22.5">
      <c r="A100" s="16" t="s">
        <v>467</v>
      </c>
      <c r="B100" s="35" t="s">
        <v>79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</row>
    <row r="101" spans="1:15" s="350" customFormat="1">
      <c r="A101" s="16" t="s">
        <v>468</v>
      </c>
      <c r="B101" s="35" t="s">
        <v>80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</row>
    <row r="102" spans="1:15" s="350" customFormat="1" ht="22.5">
      <c r="A102" s="16" t="s">
        <v>469</v>
      </c>
      <c r="B102" s="35" t="s">
        <v>81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</row>
    <row r="103" spans="1:15" ht="15">
      <c r="A103" s="10"/>
      <c r="B103" s="7"/>
      <c r="C103" s="36"/>
      <c r="D103" s="36"/>
      <c r="E103" s="36"/>
      <c r="F103" s="36"/>
      <c r="G103" s="36"/>
      <c r="H103" s="36"/>
      <c r="I103" s="36"/>
      <c r="J103" s="36"/>
      <c r="K103" s="7"/>
      <c r="L103" s="7"/>
      <c r="M103" s="7"/>
      <c r="N103" s="7"/>
      <c r="O103" s="7"/>
    </row>
    <row r="104" spans="1:15" ht="15">
      <c r="A104" s="10"/>
      <c r="B104" s="7" t="s">
        <v>462</v>
      </c>
      <c r="C104" s="36">
        <f>(C4+C24)-(C15+C33)</f>
        <v>0</v>
      </c>
      <c r="D104" s="36">
        <f t="shared" ref="D104:O104" si="0">(D4+D24)-(D15+D33)</f>
        <v>0.25999999046325684</v>
      </c>
      <c r="E104" s="36">
        <f t="shared" si="0"/>
        <v>0.23161756992340088</v>
      </c>
      <c r="F104" s="36">
        <f t="shared" si="0"/>
        <v>-9.7239017486572266E-3</v>
      </c>
      <c r="G104" s="36">
        <f t="shared" si="0"/>
        <v>3.2081484794616699E-2</v>
      </c>
      <c r="H104" s="36">
        <f t="shared" si="0"/>
        <v>-1.1276960372924805E-2</v>
      </c>
      <c r="I104" s="36">
        <f t="shared" si="0"/>
        <v>-2.7502298355102539E-2</v>
      </c>
      <c r="J104" s="36">
        <f t="shared" si="0"/>
        <v>1.19476318359375E-2</v>
      </c>
      <c r="K104" s="36">
        <f t="shared" si="0"/>
        <v>8.1866979598999023E-3</v>
      </c>
      <c r="L104" s="36">
        <f t="shared" si="0"/>
        <v>4.3503046035766602E-3</v>
      </c>
      <c r="M104" s="36">
        <f t="shared" si="0"/>
        <v>-3.1562566757202148E-2</v>
      </c>
      <c r="N104" s="36">
        <f t="shared" si="0"/>
        <v>-1.0193943977355957E-2</v>
      </c>
      <c r="O104" s="36">
        <f t="shared" si="0"/>
        <v>-1.0397791862487793E-2</v>
      </c>
    </row>
    <row r="105" spans="1:15" ht="15">
      <c r="A105" s="10"/>
      <c r="B105" s="7"/>
      <c r="C105" s="36"/>
      <c r="D105" s="36"/>
      <c r="E105" s="36"/>
      <c r="F105" s="36"/>
      <c r="G105" s="36"/>
      <c r="H105" s="36"/>
      <c r="I105" s="36"/>
      <c r="J105" s="36"/>
      <c r="K105" s="7"/>
      <c r="L105" s="7"/>
      <c r="M105" s="7"/>
      <c r="N105" s="7"/>
      <c r="O105" s="7"/>
    </row>
    <row r="125" spans="3:5" ht="15">
      <c r="C125" s="9"/>
      <c r="D125" s="9"/>
      <c r="E125" s="9"/>
    </row>
    <row r="126" spans="3:5" ht="15">
      <c r="C126" s="9"/>
      <c r="D126" s="9"/>
      <c r="E126" s="9"/>
    </row>
    <row r="129" spans="3:15"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</row>
    <row r="130" spans="3:15"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</row>
    <row r="131" spans="3:15"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</row>
    <row r="137" spans="3:15" ht="15"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9" spans="3:15" ht="15"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55" spans="3:5" ht="15">
      <c r="C155" s="9"/>
      <c r="D155" s="9"/>
      <c r="E155" s="9"/>
    </row>
    <row r="165" spans="3:13" ht="15"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8" spans="3:13" ht="15">
      <c r="C168" s="9"/>
      <c r="D168" s="9"/>
      <c r="E168" s="9"/>
      <c r="F168" s="9"/>
      <c r="G168" s="9"/>
      <c r="H168" s="9"/>
      <c r="I168" s="9"/>
      <c r="J168" s="9"/>
      <c r="K168" s="7"/>
      <c r="L168" s="7"/>
      <c r="M168" s="7"/>
    </row>
    <row r="169" spans="3:13" ht="15"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87" spans="3:15" ht="15"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95" spans="3:15" ht="15"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</row>
    <row r="200" spans="3:15" ht="15">
      <c r="C200" s="7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</row>
    <row r="201" spans="3:15" ht="15">
      <c r="C201" s="7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</row>
    <row r="202" spans="3:15" ht="15">
      <c r="C202" s="7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</row>
    <row r="203" spans="3:15" ht="15">
      <c r="C203" s="7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</row>
    <row r="204" spans="3:15" ht="15">
      <c r="C204" s="7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</row>
    <row r="205" spans="3:15" ht="15">
      <c r="C205" s="7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</row>
    <row r="206" spans="3:15" ht="15">
      <c r="C206" s="7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</row>
    <row r="207" spans="3:15" ht="15">
      <c r="C207" s="7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</row>
    <row r="208" spans="3:15" ht="15">
      <c r="C208" s="7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</row>
    <row r="209" spans="3:15" ht="15">
      <c r="C209" s="7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</row>
    <row r="210" spans="3:15" ht="15">
      <c r="C210" s="7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</row>
    <row r="211" spans="3:15" ht="15"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</row>
    <row r="212" spans="3:15" ht="15"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</row>
    <row r="213" spans="3:15" ht="15"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</row>
    <row r="214" spans="3:15" ht="15"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</row>
    <row r="215" spans="3:15" ht="15"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</row>
    <row r="216" spans="3:15" ht="15"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</row>
    <row r="217" spans="3:15" ht="15">
      <c r="D217" s="40"/>
      <c r="E217" s="40"/>
      <c r="F217" s="40"/>
      <c r="G217" s="40"/>
      <c r="H217" s="40"/>
      <c r="I217" s="40"/>
      <c r="J217" s="7"/>
      <c r="K217" s="7"/>
      <c r="L217" s="7"/>
      <c r="M217" s="7"/>
      <c r="N217" s="7"/>
      <c r="O217" s="7"/>
    </row>
  </sheetData>
  <mergeCells count="9">
    <mergeCell ref="C72:O72"/>
    <mergeCell ref="C86:O86"/>
    <mergeCell ref="C95:O95"/>
    <mergeCell ref="L1:O1"/>
    <mergeCell ref="B2:O2"/>
    <mergeCell ref="C44:O44"/>
    <mergeCell ref="C47:O47"/>
    <mergeCell ref="C59:O59"/>
    <mergeCell ref="C62:O62"/>
  </mergeCells>
  <printOptions horizontalCentered="1"/>
  <pageMargins left="0" right="0" top="0" bottom="0" header="0.31496062992125984" footer="0.31496062992125984"/>
  <pageSetup paperSize="9" scale="72" orientation="landscape" r:id="rId1"/>
  <rowBreaks count="3" manualBreakCount="3">
    <brk id="37" max="14" man="1"/>
    <brk id="61" max="14" man="1"/>
    <brk id="9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W123"/>
  <sheetViews>
    <sheetView view="pageBreakPreview" zoomScaleNormal="100" zoomScaleSheetLayoutView="100" workbookViewId="0">
      <pane ySplit="3" topLeftCell="A79" activePane="bottomLeft" state="frozen"/>
      <selection pane="bottomLeft" activeCell="A26" sqref="A26:XFD26"/>
    </sheetView>
  </sheetViews>
  <sheetFormatPr defaultRowHeight="14.25"/>
  <cols>
    <col min="1" max="1" width="7.75" style="1" customWidth="1"/>
    <col min="2" max="2" width="28.625" style="67" customWidth="1"/>
    <col min="3" max="3" width="34.5" style="67" customWidth="1"/>
    <col min="4" max="4" width="15.5" style="68" customWidth="1"/>
    <col min="5" max="6" width="4.5" style="1" bestFit="1" customWidth="1"/>
    <col min="7" max="7" width="13.25" style="1" customWidth="1"/>
    <col min="8" max="10" width="11.625" style="1" customWidth="1"/>
    <col min="11" max="15" width="10.625" style="1" customWidth="1"/>
    <col min="16" max="20" width="9.625" style="1" customWidth="1"/>
    <col min="21" max="21" width="11.25" style="1" customWidth="1"/>
    <col min="22" max="22" width="12.625" style="1" bestFit="1" customWidth="1"/>
    <col min="23" max="23" width="11.125" style="1" bestFit="1" customWidth="1"/>
    <col min="24" max="16384" width="9" style="1"/>
  </cols>
  <sheetData>
    <row r="1" spans="1:23" ht="65.25" customHeight="1" thickBot="1">
      <c r="N1" s="69"/>
      <c r="O1" s="365" t="s">
        <v>182</v>
      </c>
      <c r="P1" s="365"/>
      <c r="Q1" s="365"/>
      <c r="R1" s="365"/>
      <c r="S1" s="365"/>
      <c r="T1" s="69"/>
      <c r="U1" s="69"/>
    </row>
    <row r="2" spans="1:23" ht="30.75" customHeight="1" thickBot="1">
      <c r="A2" s="366" t="s">
        <v>183</v>
      </c>
      <c r="B2" s="368" t="s">
        <v>184</v>
      </c>
      <c r="C2" s="366" t="s">
        <v>185</v>
      </c>
      <c r="D2" s="368" t="s">
        <v>186</v>
      </c>
      <c r="E2" s="369" t="s">
        <v>187</v>
      </c>
      <c r="F2" s="370"/>
      <c r="G2" s="371" t="s">
        <v>188</v>
      </c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4"/>
      <c r="U2" s="381" t="s">
        <v>189</v>
      </c>
    </row>
    <row r="3" spans="1:23" ht="24" customHeight="1" thickBot="1">
      <c r="A3" s="367"/>
      <c r="B3" s="368"/>
      <c r="C3" s="367"/>
      <c r="D3" s="368"/>
      <c r="E3" s="70" t="s">
        <v>190</v>
      </c>
      <c r="F3" s="71" t="s">
        <v>191</v>
      </c>
      <c r="G3" s="372"/>
      <c r="H3" s="72">
        <v>2013</v>
      </c>
      <c r="I3" s="73">
        <v>2014</v>
      </c>
      <c r="J3" s="72">
        <v>2015</v>
      </c>
      <c r="K3" s="72">
        <v>2016</v>
      </c>
      <c r="L3" s="72">
        <v>2017</v>
      </c>
      <c r="M3" s="72">
        <v>2018</v>
      </c>
      <c r="N3" s="72">
        <v>2019</v>
      </c>
      <c r="O3" s="72">
        <v>2020</v>
      </c>
      <c r="P3" s="72">
        <v>2021</v>
      </c>
      <c r="Q3" s="72">
        <v>2022</v>
      </c>
      <c r="R3" s="72">
        <v>2023</v>
      </c>
      <c r="S3" s="72">
        <v>2024</v>
      </c>
      <c r="T3" s="72">
        <v>2025</v>
      </c>
      <c r="U3" s="381"/>
    </row>
    <row r="4" spans="1:23" s="78" customFormat="1" ht="15">
      <c r="A4" s="74">
        <v>1</v>
      </c>
      <c r="B4" s="75">
        <v>2</v>
      </c>
      <c r="C4" s="75">
        <v>3</v>
      </c>
      <c r="D4" s="76">
        <v>4</v>
      </c>
      <c r="E4" s="382">
        <v>5</v>
      </c>
      <c r="F4" s="383"/>
      <c r="G4" s="77">
        <v>6</v>
      </c>
      <c r="H4" s="77">
        <v>7</v>
      </c>
      <c r="I4" s="77">
        <v>8</v>
      </c>
      <c r="J4" s="77">
        <v>9</v>
      </c>
      <c r="K4" s="77">
        <v>10</v>
      </c>
      <c r="L4" s="77">
        <v>11</v>
      </c>
      <c r="M4" s="77">
        <v>12</v>
      </c>
      <c r="N4" s="77">
        <v>13</v>
      </c>
      <c r="O4" s="77">
        <v>14</v>
      </c>
      <c r="P4" s="77">
        <v>15</v>
      </c>
      <c r="Q4" s="77">
        <v>16</v>
      </c>
      <c r="R4" s="77">
        <v>17</v>
      </c>
      <c r="S4" s="77">
        <v>18</v>
      </c>
      <c r="T4" s="77">
        <v>19</v>
      </c>
      <c r="U4" s="77">
        <v>20</v>
      </c>
    </row>
    <row r="5" spans="1:23" s="81" customFormat="1" ht="20.100000000000001" customHeight="1">
      <c r="A5" s="79" t="s">
        <v>92</v>
      </c>
      <c r="B5" s="384" t="s">
        <v>192</v>
      </c>
      <c r="C5" s="385"/>
      <c r="D5" s="385"/>
      <c r="E5" s="385"/>
      <c r="F5" s="385"/>
      <c r="G5" s="80">
        <f>SUM(G6:G7)</f>
        <v>2484664391</v>
      </c>
      <c r="H5" s="80">
        <f t="shared" ref="H5:U5" si="0">SUM(H6:H7)</f>
        <v>842661913</v>
      </c>
      <c r="I5" s="80">
        <f t="shared" si="0"/>
        <v>823324143</v>
      </c>
      <c r="J5" s="80">
        <f t="shared" si="0"/>
        <v>257229070</v>
      </c>
      <c r="K5" s="80">
        <f t="shared" si="0"/>
        <v>22696473</v>
      </c>
      <c r="L5" s="80">
        <f t="shared" si="0"/>
        <v>18279708</v>
      </c>
      <c r="M5" s="80">
        <f t="shared" si="0"/>
        <v>18640922</v>
      </c>
      <c r="N5" s="80">
        <f t="shared" si="0"/>
        <v>6048413</v>
      </c>
      <c r="O5" s="80">
        <f t="shared" si="0"/>
        <v>5820597</v>
      </c>
      <c r="P5" s="80">
        <f t="shared" si="0"/>
        <v>200000</v>
      </c>
      <c r="Q5" s="80">
        <f t="shared" si="0"/>
        <v>200000</v>
      </c>
      <c r="R5" s="80">
        <f t="shared" si="0"/>
        <v>200000</v>
      </c>
      <c r="S5" s="80">
        <f t="shared" si="0"/>
        <v>200000</v>
      </c>
      <c r="T5" s="80">
        <f t="shared" si="0"/>
        <v>200000</v>
      </c>
      <c r="U5" s="80">
        <f t="shared" si="0"/>
        <v>955904176</v>
      </c>
    </row>
    <row r="6" spans="1:23" s="81" customFormat="1" ht="20.100000000000001" customHeight="1">
      <c r="A6" s="82" t="s">
        <v>193</v>
      </c>
      <c r="B6" s="386" t="s">
        <v>194</v>
      </c>
      <c r="C6" s="387"/>
      <c r="D6" s="387"/>
      <c r="E6" s="387"/>
      <c r="F6" s="387"/>
      <c r="G6" s="83">
        <f t="shared" ref="G6:U6" si="1">SUM(G9,G60)</f>
        <v>561830541</v>
      </c>
      <c r="H6" s="83">
        <f t="shared" si="1"/>
        <v>133253291</v>
      </c>
      <c r="I6" s="83">
        <f t="shared" si="1"/>
        <v>119614902</v>
      </c>
      <c r="J6" s="83">
        <f t="shared" si="1"/>
        <v>50197979</v>
      </c>
      <c r="K6" s="83">
        <f t="shared" si="1"/>
        <v>9696473</v>
      </c>
      <c r="L6" s="83">
        <f t="shared" si="1"/>
        <v>5279708</v>
      </c>
      <c r="M6" s="83">
        <f t="shared" si="1"/>
        <v>3640922</v>
      </c>
      <c r="N6" s="83">
        <f t="shared" si="1"/>
        <v>3221814</v>
      </c>
      <c r="O6" s="83">
        <f t="shared" si="1"/>
        <v>2993998</v>
      </c>
      <c r="P6" s="83">
        <f t="shared" si="1"/>
        <v>200000</v>
      </c>
      <c r="Q6" s="83">
        <f t="shared" si="1"/>
        <v>200000</v>
      </c>
      <c r="R6" s="83">
        <f t="shared" si="1"/>
        <v>200000</v>
      </c>
      <c r="S6" s="83">
        <f t="shared" si="1"/>
        <v>200000</v>
      </c>
      <c r="T6" s="83">
        <f t="shared" si="1"/>
        <v>200000</v>
      </c>
      <c r="U6" s="83">
        <f t="shared" si="1"/>
        <v>102880903</v>
      </c>
    </row>
    <row r="7" spans="1:23" s="81" customFormat="1" ht="20.100000000000001" customHeight="1">
      <c r="A7" s="82" t="s">
        <v>195</v>
      </c>
      <c r="B7" s="388" t="s">
        <v>196</v>
      </c>
      <c r="C7" s="389"/>
      <c r="D7" s="389"/>
      <c r="E7" s="389"/>
      <c r="F7" s="389"/>
      <c r="G7" s="83">
        <f t="shared" ref="G7:U7" si="2">SUM(G26,G73)</f>
        <v>1922833850</v>
      </c>
      <c r="H7" s="83">
        <f t="shared" si="2"/>
        <v>709408622</v>
      </c>
      <c r="I7" s="83">
        <f t="shared" si="2"/>
        <v>703709241</v>
      </c>
      <c r="J7" s="83">
        <f t="shared" si="2"/>
        <v>207031091</v>
      </c>
      <c r="K7" s="83">
        <f t="shared" si="2"/>
        <v>13000000</v>
      </c>
      <c r="L7" s="83">
        <f t="shared" si="2"/>
        <v>13000000</v>
      </c>
      <c r="M7" s="83">
        <f t="shared" si="2"/>
        <v>15000000</v>
      </c>
      <c r="N7" s="83">
        <f t="shared" si="2"/>
        <v>2826599</v>
      </c>
      <c r="O7" s="83">
        <f t="shared" si="2"/>
        <v>2826599</v>
      </c>
      <c r="P7" s="83">
        <f t="shared" si="2"/>
        <v>0</v>
      </c>
      <c r="Q7" s="83">
        <f t="shared" si="2"/>
        <v>0</v>
      </c>
      <c r="R7" s="83">
        <f t="shared" si="2"/>
        <v>0</v>
      </c>
      <c r="S7" s="83">
        <f t="shared" si="2"/>
        <v>0</v>
      </c>
      <c r="T7" s="83">
        <f t="shared" si="2"/>
        <v>0</v>
      </c>
      <c r="U7" s="83">
        <f t="shared" si="2"/>
        <v>853023273</v>
      </c>
    </row>
    <row r="8" spans="1:23" s="342" customFormat="1" ht="48" customHeight="1">
      <c r="A8" s="344" t="s">
        <v>82</v>
      </c>
      <c r="B8" s="375" t="s">
        <v>197</v>
      </c>
      <c r="C8" s="376"/>
      <c r="D8" s="376"/>
      <c r="E8" s="376"/>
      <c r="F8" s="376"/>
      <c r="G8" s="115">
        <f>SUM(G9,G26)</f>
        <v>1914906789</v>
      </c>
      <c r="H8" s="115">
        <f t="shared" ref="H8:U8" si="3">SUM(H9,H26)</f>
        <v>722463048</v>
      </c>
      <c r="I8" s="115">
        <f t="shared" si="3"/>
        <v>735079425</v>
      </c>
      <c r="J8" s="115">
        <f t="shared" si="3"/>
        <v>218351022</v>
      </c>
      <c r="K8" s="115">
        <f t="shared" si="3"/>
        <v>2709303</v>
      </c>
      <c r="L8" s="115">
        <f t="shared" si="3"/>
        <v>2020519</v>
      </c>
      <c r="M8" s="115">
        <f t="shared" si="3"/>
        <v>1765431</v>
      </c>
      <c r="N8" s="115">
        <f t="shared" si="3"/>
        <v>4172922</v>
      </c>
      <c r="O8" s="115">
        <f t="shared" si="3"/>
        <v>3945106</v>
      </c>
      <c r="P8" s="115">
        <f t="shared" si="3"/>
        <v>0</v>
      </c>
      <c r="Q8" s="115">
        <f t="shared" si="3"/>
        <v>0</v>
      </c>
      <c r="R8" s="115">
        <f t="shared" si="3"/>
        <v>0</v>
      </c>
      <c r="S8" s="115">
        <f t="shared" si="3"/>
        <v>0</v>
      </c>
      <c r="T8" s="115">
        <f t="shared" si="3"/>
        <v>0</v>
      </c>
      <c r="U8" s="115">
        <f t="shared" si="3"/>
        <v>906677405</v>
      </c>
    </row>
    <row r="9" spans="1:23" s="347" customFormat="1" ht="20.100000000000001" customHeight="1">
      <c r="A9" s="345" t="s">
        <v>83</v>
      </c>
      <c r="B9" s="377" t="s">
        <v>194</v>
      </c>
      <c r="C9" s="378"/>
      <c r="D9" s="378"/>
      <c r="E9" s="378"/>
      <c r="F9" s="378"/>
      <c r="G9" s="85">
        <f>SUM(G10:G25)</f>
        <v>333370843</v>
      </c>
      <c r="H9" s="85">
        <f t="shared" ref="H9:U9" si="4">SUM(H10:H25)</f>
        <v>80738321</v>
      </c>
      <c r="I9" s="85">
        <f t="shared" si="4"/>
        <v>75591391</v>
      </c>
      <c r="J9" s="85">
        <f t="shared" si="4"/>
        <v>32864919</v>
      </c>
      <c r="K9" s="85">
        <f t="shared" si="4"/>
        <v>2709303</v>
      </c>
      <c r="L9" s="85">
        <f t="shared" si="4"/>
        <v>2020519</v>
      </c>
      <c r="M9" s="85">
        <f t="shared" si="4"/>
        <v>1765431</v>
      </c>
      <c r="N9" s="85">
        <f t="shared" si="4"/>
        <v>1346323</v>
      </c>
      <c r="O9" s="85">
        <f t="shared" si="4"/>
        <v>1118507</v>
      </c>
      <c r="P9" s="85">
        <f t="shared" si="4"/>
        <v>0</v>
      </c>
      <c r="Q9" s="85">
        <f t="shared" si="4"/>
        <v>0</v>
      </c>
      <c r="R9" s="85">
        <f t="shared" si="4"/>
        <v>0</v>
      </c>
      <c r="S9" s="85">
        <f t="shared" si="4"/>
        <v>0</v>
      </c>
      <c r="T9" s="85">
        <f t="shared" si="4"/>
        <v>0</v>
      </c>
      <c r="U9" s="85">
        <f t="shared" si="4"/>
        <v>68141917</v>
      </c>
      <c r="V9" s="346"/>
      <c r="W9" s="346"/>
    </row>
    <row r="10" spans="1:23" s="8" customFormat="1" ht="225" customHeight="1">
      <c r="A10" s="88" t="s">
        <v>198</v>
      </c>
      <c r="B10" s="88" t="s">
        <v>199</v>
      </c>
      <c r="C10" s="89" t="s">
        <v>200</v>
      </c>
      <c r="D10" s="88" t="s">
        <v>201</v>
      </c>
      <c r="E10" s="90">
        <v>2010</v>
      </c>
      <c r="F10" s="90">
        <v>2015</v>
      </c>
      <c r="G10" s="91">
        <v>36442500</v>
      </c>
      <c r="H10" s="91">
        <v>5931000</v>
      </c>
      <c r="I10" s="91">
        <v>5739000</v>
      </c>
      <c r="J10" s="91">
        <v>5739000</v>
      </c>
      <c r="K10" s="91"/>
      <c r="L10" s="91"/>
      <c r="M10" s="91"/>
      <c r="N10" s="91"/>
      <c r="O10" s="92"/>
      <c r="P10" s="92"/>
      <c r="Q10" s="92"/>
      <c r="R10" s="92"/>
      <c r="S10" s="92"/>
      <c r="T10" s="92"/>
      <c r="U10" s="91">
        <v>0</v>
      </c>
    </row>
    <row r="11" spans="1:23" s="8" customFormat="1" ht="240.75" customHeight="1">
      <c r="A11" s="88" t="s">
        <v>202</v>
      </c>
      <c r="B11" s="88" t="s">
        <v>203</v>
      </c>
      <c r="C11" s="89" t="s">
        <v>204</v>
      </c>
      <c r="D11" s="88" t="s">
        <v>201</v>
      </c>
      <c r="E11" s="90">
        <v>2009</v>
      </c>
      <c r="F11" s="90">
        <v>2015</v>
      </c>
      <c r="G11" s="93">
        <v>2704474</v>
      </c>
      <c r="H11" s="93">
        <v>602000</v>
      </c>
      <c r="I11" s="93">
        <v>670000</v>
      </c>
      <c r="J11" s="93">
        <v>350000</v>
      </c>
      <c r="K11" s="93"/>
      <c r="L11" s="93"/>
      <c r="M11" s="93"/>
      <c r="N11" s="93"/>
      <c r="O11" s="94"/>
      <c r="P11" s="94"/>
      <c r="Q11" s="94"/>
      <c r="R11" s="94"/>
      <c r="S11" s="94"/>
      <c r="T11" s="94"/>
      <c r="U11" s="93">
        <v>0</v>
      </c>
    </row>
    <row r="12" spans="1:23" s="8" customFormat="1" ht="124.5" customHeight="1">
      <c r="A12" s="88" t="s">
        <v>205</v>
      </c>
      <c r="B12" s="88" t="s">
        <v>206</v>
      </c>
      <c r="C12" s="88" t="s">
        <v>207</v>
      </c>
      <c r="D12" s="88" t="s">
        <v>201</v>
      </c>
      <c r="E12" s="90">
        <v>2010</v>
      </c>
      <c r="F12" s="90">
        <v>2020</v>
      </c>
      <c r="G12" s="93">
        <v>2412916</v>
      </c>
      <c r="H12" s="93">
        <v>305185</v>
      </c>
      <c r="I12" s="93">
        <v>305185</v>
      </c>
      <c r="J12" s="93">
        <v>284733</v>
      </c>
      <c r="K12" s="93">
        <v>231732</v>
      </c>
      <c r="L12" s="93">
        <v>231732</v>
      </c>
      <c r="M12" s="93">
        <v>231732</v>
      </c>
      <c r="N12" s="93">
        <v>231732</v>
      </c>
      <c r="O12" s="93">
        <v>231732</v>
      </c>
      <c r="P12" s="93"/>
      <c r="Q12" s="93"/>
      <c r="R12" s="93"/>
      <c r="S12" s="93"/>
      <c r="T12" s="93"/>
      <c r="U12" s="93">
        <v>589918</v>
      </c>
    </row>
    <row r="13" spans="1:23" s="8" customFormat="1" ht="113.25" customHeight="1">
      <c r="A13" s="88" t="s">
        <v>208</v>
      </c>
      <c r="B13" s="88" t="s">
        <v>209</v>
      </c>
      <c r="C13" s="88" t="s">
        <v>210</v>
      </c>
      <c r="D13" s="88" t="s">
        <v>201</v>
      </c>
      <c r="E13" s="90">
        <v>2011</v>
      </c>
      <c r="F13" s="90">
        <v>2014</v>
      </c>
      <c r="G13" s="93">
        <v>327394</v>
      </c>
      <c r="H13" s="93">
        <v>126000</v>
      </c>
      <c r="I13" s="93">
        <v>164000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>
        <v>164000</v>
      </c>
      <c r="W13" s="95"/>
    </row>
    <row r="14" spans="1:23" s="8" customFormat="1" ht="65.25" customHeight="1">
      <c r="A14" s="88" t="s">
        <v>211</v>
      </c>
      <c r="B14" s="88" t="s">
        <v>212</v>
      </c>
      <c r="C14" s="88" t="s">
        <v>213</v>
      </c>
      <c r="D14" s="88" t="s">
        <v>201</v>
      </c>
      <c r="E14" s="90">
        <v>2010</v>
      </c>
      <c r="F14" s="90">
        <v>2020</v>
      </c>
      <c r="G14" s="93">
        <v>10749533</v>
      </c>
      <c r="H14" s="93">
        <v>0</v>
      </c>
      <c r="I14" s="93">
        <v>0</v>
      </c>
      <c r="J14" s="93">
        <v>3442930</v>
      </c>
      <c r="K14" s="93">
        <v>2312631</v>
      </c>
      <c r="L14" s="93">
        <v>1623847</v>
      </c>
      <c r="M14" s="93">
        <v>1368759</v>
      </c>
      <c r="N14" s="93">
        <v>1114591</v>
      </c>
      <c r="O14" s="93">
        <v>886775</v>
      </c>
      <c r="P14" s="93"/>
      <c r="Q14" s="93"/>
      <c r="R14" s="93"/>
      <c r="S14" s="93"/>
      <c r="T14" s="93"/>
      <c r="U14" s="93">
        <v>3442930</v>
      </c>
    </row>
    <row r="15" spans="1:23" s="8" customFormat="1" ht="66" customHeight="1">
      <c r="A15" s="88" t="s">
        <v>214</v>
      </c>
      <c r="B15" s="96" t="s">
        <v>215</v>
      </c>
      <c r="C15" s="97" t="s">
        <v>216</v>
      </c>
      <c r="D15" s="88" t="s">
        <v>201</v>
      </c>
      <c r="E15" s="90">
        <v>2009</v>
      </c>
      <c r="F15" s="90">
        <v>2018</v>
      </c>
      <c r="G15" s="93">
        <v>335600</v>
      </c>
      <c r="H15" s="93">
        <v>22600</v>
      </c>
      <c r="I15" s="93">
        <v>32600</v>
      </c>
      <c r="J15" s="93">
        <v>32600</v>
      </c>
      <c r="K15" s="93">
        <v>82600</v>
      </c>
      <c r="L15" s="93">
        <v>82600</v>
      </c>
      <c r="M15" s="93">
        <v>82600</v>
      </c>
      <c r="N15" s="93"/>
      <c r="O15" s="93"/>
      <c r="P15" s="93"/>
      <c r="Q15" s="93"/>
      <c r="R15" s="93"/>
      <c r="S15" s="93"/>
      <c r="T15" s="93"/>
      <c r="U15" s="93">
        <v>65200</v>
      </c>
      <c r="W15" s="8" t="s">
        <v>217</v>
      </c>
    </row>
    <row r="16" spans="1:23" s="8" customFormat="1" ht="69.75" customHeight="1">
      <c r="A16" s="88" t="s">
        <v>218</v>
      </c>
      <c r="B16" s="88" t="s">
        <v>219</v>
      </c>
      <c r="C16" s="98" t="s">
        <v>220</v>
      </c>
      <c r="D16" s="88" t="s">
        <v>201</v>
      </c>
      <c r="E16" s="90">
        <v>2009</v>
      </c>
      <c r="F16" s="90">
        <v>2018</v>
      </c>
      <c r="G16" s="93">
        <v>411700</v>
      </c>
      <c r="H16" s="93">
        <v>0</v>
      </c>
      <c r="I16" s="93">
        <v>82340</v>
      </c>
      <c r="J16" s="93">
        <v>82340</v>
      </c>
      <c r="K16" s="93">
        <v>82340</v>
      </c>
      <c r="L16" s="93">
        <v>82340</v>
      </c>
      <c r="M16" s="93">
        <v>82340</v>
      </c>
      <c r="N16" s="93"/>
      <c r="O16" s="93"/>
      <c r="P16" s="93"/>
      <c r="Q16" s="93"/>
      <c r="R16" s="93"/>
      <c r="S16" s="93"/>
      <c r="T16" s="93"/>
      <c r="U16" s="93">
        <v>164680</v>
      </c>
    </row>
    <row r="17" spans="1:21" s="8" customFormat="1" ht="60">
      <c r="A17" s="88" t="s">
        <v>221</v>
      </c>
      <c r="B17" s="88" t="s">
        <v>222</v>
      </c>
      <c r="C17" s="88" t="s">
        <v>223</v>
      </c>
      <c r="D17" s="88" t="s">
        <v>201</v>
      </c>
      <c r="E17" s="90">
        <v>2010</v>
      </c>
      <c r="F17" s="90">
        <v>2015</v>
      </c>
      <c r="G17" s="93">
        <v>119799940</v>
      </c>
      <c r="H17" s="93">
        <v>22508000</v>
      </c>
      <c r="I17" s="93">
        <v>15481160</v>
      </c>
      <c r="J17" s="93">
        <v>10400594</v>
      </c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3">
        <v>25881754</v>
      </c>
    </row>
    <row r="18" spans="1:21" s="8" customFormat="1" ht="138.75" customHeight="1">
      <c r="A18" s="88" t="s">
        <v>224</v>
      </c>
      <c r="B18" s="88" t="s">
        <v>225</v>
      </c>
      <c r="C18" s="99" t="s">
        <v>226</v>
      </c>
      <c r="D18" s="88" t="s">
        <v>227</v>
      </c>
      <c r="E18" s="90">
        <v>2009</v>
      </c>
      <c r="F18" s="90">
        <v>2015</v>
      </c>
      <c r="G18" s="93">
        <v>6135672</v>
      </c>
      <c r="H18" s="93">
        <v>992623</v>
      </c>
      <c r="I18" s="93">
        <v>1021762</v>
      </c>
      <c r="J18" s="93">
        <v>542869</v>
      </c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v>1564631</v>
      </c>
    </row>
    <row r="19" spans="1:21" s="8" customFormat="1" ht="96.75" customHeight="1">
      <c r="A19" s="88" t="s">
        <v>228</v>
      </c>
      <c r="B19" s="88" t="s">
        <v>229</v>
      </c>
      <c r="C19" s="88" t="s">
        <v>230</v>
      </c>
      <c r="D19" s="88" t="s">
        <v>201</v>
      </c>
      <c r="E19" s="90">
        <v>2012</v>
      </c>
      <c r="F19" s="90">
        <v>2014</v>
      </c>
      <c r="G19" s="93">
        <v>508443</v>
      </c>
      <c r="H19" s="93">
        <v>164981</v>
      </c>
      <c r="I19" s="93">
        <v>183981</v>
      </c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>
        <v>183981</v>
      </c>
    </row>
    <row r="20" spans="1:21" s="8" customFormat="1" ht="63.75" customHeight="1">
      <c r="A20" s="88" t="s">
        <v>231</v>
      </c>
      <c r="B20" s="88" t="s">
        <v>232</v>
      </c>
      <c r="C20" s="88" t="s">
        <v>233</v>
      </c>
      <c r="D20" s="88" t="s">
        <v>201</v>
      </c>
      <c r="E20" s="90">
        <v>2012</v>
      </c>
      <c r="F20" s="90">
        <v>2014</v>
      </c>
      <c r="G20" s="93">
        <v>512035</v>
      </c>
      <c r="H20" s="93">
        <v>210093</v>
      </c>
      <c r="I20" s="93">
        <v>133242</v>
      </c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>
        <v>133242</v>
      </c>
    </row>
    <row r="21" spans="1:21" s="8" customFormat="1" ht="187.5" customHeight="1">
      <c r="A21" s="88" t="s">
        <v>234</v>
      </c>
      <c r="B21" s="96" t="s">
        <v>235</v>
      </c>
      <c r="C21" s="97" t="s">
        <v>236</v>
      </c>
      <c r="D21" s="88" t="s">
        <v>237</v>
      </c>
      <c r="E21" s="90">
        <v>2011</v>
      </c>
      <c r="F21" s="90">
        <v>2014</v>
      </c>
      <c r="G21" s="93">
        <v>8966426</v>
      </c>
      <c r="H21" s="93">
        <v>3222610</v>
      </c>
      <c r="I21" s="93">
        <v>2518935</v>
      </c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91">
        <v>1716751</v>
      </c>
    </row>
    <row r="22" spans="1:21" s="8" customFormat="1" ht="105">
      <c r="A22" s="88" t="s">
        <v>238</v>
      </c>
      <c r="B22" s="96" t="s">
        <v>239</v>
      </c>
      <c r="C22" s="97" t="s">
        <v>240</v>
      </c>
      <c r="D22" s="88" t="s">
        <v>241</v>
      </c>
      <c r="E22" s="90">
        <v>2012</v>
      </c>
      <c r="F22" s="90">
        <v>2014</v>
      </c>
      <c r="G22" s="93">
        <v>62402803</v>
      </c>
      <c r="H22" s="93">
        <v>22934772</v>
      </c>
      <c r="I22" s="93">
        <v>31342948</v>
      </c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91">
        <f>30972173+370766</f>
        <v>31342939</v>
      </c>
    </row>
    <row r="23" spans="1:21" s="8" customFormat="1" ht="105">
      <c r="A23" s="88" t="s">
        <v>242</v>
      </c>
      <c r="B23" s="96" t="s">
        <v>243</v>
      </c>
      <c r="C23" s="97" t="s">
        <v>244</v>
      </c>
      <c r="D23" s="88" t="s">
        <v>245</v>
      </c>
      <c r="E23" s="90">
        <v>2012</v>
      </c>
      <c r="F23" s="90">
        <v>2015</v>
      </c>
      <c r="G23" s="93">
        <v>4147140</v>
      </c>
      <c r="H23" s="93">
        <v>2281812</v>
      </c>
      <c r="I23" s="93">
        <v>1115601</v>
      </c>
      <c r="J23" s="93">
        <v>352293</v>
      </c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>
        <v>1467894</v>
      </c>
    </row>
    <row r="24" spans="1:21" s="8" customFormat="1" ht="300">
      <c r="A24" s="88" t="s">
        <v>246</v>
      </c>
      <c r="B24" s="88" t="s">
        <v>247</v>
      </c>
      <c r="C24" s="88" t="s">
        <v>248</v>
      </c>
      <c r="D24" s="88" t="s">
        <v>237</v>
      </c>
      <c r="E24" s="90">
        <v>2012</v>
      </c>
      <c r="F24" s="90">
        <v>2015</v>
      </c>
      <c r="G24" s="93">
        <v>5057442</v>
      </c>
      <c r="H24" s="93">
        <v>3633445</v>
      </c>
      <c r="I24" s="93">
        <v>1294437</v>
      </c>
      <c r="J24" s="93">
        <v>129560</v>
      </c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>
        <v>1423997</v>
      </c>
    </row>
    <row r="25" spans="1:21" s="8" customFormat="1" ht="36" customHeight="1">
      <c r="A25" s="88" t="s">
        <v>249</v>
      </c>
      <c r="B25" s="96" t="s">
        <v>250</v>
      </c>
      <c r="C25" s="97" t="s">
        <v>251</v>
      </c>
      <c r="D25" s="88" t="s">
        <v>241</v>
      </c>
      <c r="E25" s="90">
        <v>2011</v>
      </c>
      <c r="F25" s="90">
        <v>2015</v>
      </c>
      <c r="G25" s="93">
        <v>72456825</v>
      </c>
      <c r="H25" s="93">
        <v>17803200</v>
      </c>
      <c r="I25" s="93">
        <v>15506200</v>
      </c>
      <c r="J25" s="93">
        <v>11508000</v>
      </c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3">
        <v>0</v>
      </c>
    </row>
    <row r="26" spans="1:21" s="349" customFormat="1" ht="20.100000000000001" customHeight="1">
      <c r="A26" s="348" t="s">
        <v>84</v>
      </c>
      <c r="B26" s="379" t="s">
        <v>196</v>
      </c>
      <c r="C26" s="380"/>
      <c r="D26" s="380"/>
      <c r="E26" s="380"/>
      <c r="F26" s="390"/>
      <c r="G26" s="101">
        <f>SUM(G27:G53)</f>
        <v>1581535946</v>
      </c>
      <c r="H26" s="101">
        <f t="shared" ref="H26:U26" si="5">SUM(H27:H53)</f>
        <v>641724727</v>
      </c>
      <c r="I26" s="101">
        <f t="shared" si="5"/>
        <v>659488034</v>
      </c>
      <c r="J26" s="101">
        <f t="shared" si="5"/>
        <v>185486103</v>
      </c>
      <c r="K26" s="101">
        <f t="shared" si="5"/>
        <v>0</v>
      </c>
      <c r="L26" s="101">
        <f t="shared" si="5"/>
        <v>0</v>
      </c>
      <c r="M26" s="101">
        <f t="shared" si="5"/>
        <v>0</v>
      </c>
      <c r="N26" s="101">
        <f t="shared" si="5"/>
        <v>2826599</v>
      </c>
      <c r="O26" s="101">
        <f t="shared" si="5"/>
        <v>2826599</v>
      </c>
      <c r="P26" s="101">
        <f t="shared" si="5"/>
        <v>0</v>
      </c>
      <c r="Q26" s="101">
        <f t="shared" si="5"/>
        <v>0</v>
      </c>
      <c r="R26" s="101">
        <f t="shared" si="5"/>
        <v>0</v>
      </c>
      <c r="S26" s="101">
        <f t="shared" si="5"/>
        <v>0</v>
      </c>
      <c r="T26" s="101">
        <f t="shared" si="5"/>
        <v>0</v>
      </c>
      <c r="U26" s="101">
        <f t="shared" si="5"/>
        <v>838535488</v>
      </c>
    </row>
    <row r="27" spans="1:21" s="8" customFormat="1" ht="98.25" customHeight="1">
      <c r="A27" s="102" t="s">
        <v>252</v>
      </c>
      <c r="B27" s="96" t="s">
        <v>253</v>
      </c>
      <c r="C27" s="96" t="s">
        <v>254</v>
      </c>
      <c r="D27" s="96" t="s">
        <v>255</v>
      </c>
      <c r="E27" s="90">
        <v>2013</v>
      </c>
      <c r="F27" s="90">
        <v>2014</v>
      </c>
      <c r="G27" s="91">
        <v>1600000</v>
      </c>
      <c r="H27" s="91">
        <v>800000</v>
      </c>
      <c r="I27" s="91">
        <v>800000</v>
      </c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>
        <v>800000</v>
      </c>
    </row>
    <row r="28" spans="1:21" s="8" customFormat="1" ht="155.25" customHeight="1">
      <c r="A28" s="102" t="s">
        <v>256</v>
      </c>
      <c r="B28" s="88" t="s">
        <v>257</v>
      </c>
      <c r="C28" s="88" t="s">
        <v>258</v>
      </c>
      <c r="D28" s="88" t="s">
        <v>259</v>
      </c>
      <c r="E28" s="90">
        <v>2011</v>
      </c>
      <c r="F28" s="90">
        <v>2015</v>
      </c>
      <c r="G28" s="93">
        <v>17340000</v>
      </c>
      <c r="H28" s="93">
        <v>7340000</v>
      </c>
      <c r="I28" s="93">
        <v>5000000</v>
      </c>
      <c r="J28" s="93">
        <v>5000000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>
        <v>10000000</v>
      </c>
    </row>
    <row r="29" spans="1:21" s="8" customFormat="1" ht="240">
      <c r="A29" s="102" t="s">
        <v>260</v>
      </c>
      <c r="B29" s="88" t="s">
        <v>261</v>
      </c>
      <c r="C29" s="88" t="s">
        <v>262</v>
      </c>
      <c r="D29" s="88" t="s">
        <v>259</v>
      </c>
      <c r="E29" s="90">
        <v>2006</v>
      </c>
      <c r="F29" s="90">
        <v>2014</v>
      </c>
      <c r="G29" s="93">
        <v>19740000</v>
      </c>
      <c r="H29" s="93">
        <v>10000000</v>
      </c>
      <c r="I29" s="93">
        <v>9740000</v>
      </c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>
        <v>9740000</v>
      </c>
    </row>
    <row r="30" spans="1:21" s="8" customFormat="1" ht="171.75" customHeight="1">
      <c r="A30" s="102" t="s">
        <v>263</v>
      </c>
      <c r="B30" s="88" t="s">
        <v>264</v>
      </c>
      <c r="C30" s="88" t="s">
        <v>265</v>
      </c>
      <c r="D30" s="88" t="s">
        <v>259</v>
      </c>
      <c r="E30" s="90">
        <v>2011</v>
      </c>
      <c r="F30" s="90">
        <v>2015</v>
      </c>
      <c r="G30" s="93">
        <v>3660000</v>
      </c>
      <c r="H30" s="93">
        <v>2000000</v>
      </c>
      <c r="I30" s="93">
        <v>830000</v>
      </c>
      <c r="J30" s="93">
        <v>830000</v>
      </c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>
        <v>1660000</v>
      </c>
    </row>
    <row r="31" spans="1:21" s="8" customFormat="1" ht="174.75" customHeight="1">
      <c r="A31" s="102" t="s">
        <v>266</v>
      </c>
      <c r="B31" s="88" t="s">
        <v>267</v>
      </c>
      <c r="C31" s="88" t="s">
        <v>268</v>
      </c>
      <c r="D31" s="88" t="s">
        <v>259</v>
      </c>
      <c r="E31" s="90">
        <v>2011</v>
      </c>
      <c r="F31" s="90">
        <v>2015</v>
      </c>
      <c r="G31" s="93">
        <v>25210000</v>
      </c>
      <c r="H31" s="93">
        <v>6500000</v>
      </c>
      <c r="I31" s="93">
        <v>9355000</v>
      </c>
      <c r="J31" s="93">
        <v>9355000</v>
      </c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>
        <v>18710000</v>
      </c>
    </row>
    <row r="32" spans="1:21" s="8" customFormat="1" ht="75">
      <c r="A32" s="102" t="s">
        <v>269</v>
      </c>
      <c r="B32" s="96" t="s">
        <v>270</v>
      </c>
      <c r="C32" s="96" t="s">
        <v>271</v>
      </c>
      <c r="D32" s="96" t="s">
        <v>255</v>
      </c>
      <c r="E32" s="90">
        <v>2008</v>
      </c>
      <c r="F32" s="90">
        <v>2014</v>
      </c>
      <c r="G32" s="103">
        <v>36013711</v>
      </c>
      <c r="H32" s="103">
        <v>11633000</v>
      </c>
      <c r="I32" s="103">
        <v>8519357</v>
      </c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>
        <f>23722288-23722288+5078857</f>
        <v>5078857</v>
      </c>
    </row>
    <row r="33" spans="1:21" s="8" customFormat="1" ht="105">
      <c r="A33" s="102" t="s">
        <v>272</v>
      </c>
      <c r="B33" s="88" t="s">
        <v>273</v>
      </c>
      <c r="C33" s="88" t="s">
        <v>274</v>
      </c>
      <c r="D33" s="88" t="s">
        <v>275</v>
      </c>
      <c r="E33" s="90">
        <v>2010</v>
      </c>
      <c r="F33" s="90">
        <v>2014</v>
      </c>
      <c r="G33" s="93">
        <v>6214844</v>
      </c>
      <c r="H33" s="93">
        <v>2893354</v>
      </c>
      <c r="I33" s="93">
        <v>514640</v>
      </c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>
        <v>514640</v>
      </c>
    </row>
    <row r="34" spans="1:21" s="8" customFormat="1" ht="135">
      <c r="A34" s="102" t="s">
        <v>276</v>
      </c>
      <c r="B34" s="88" t="s">
        <v>277</v>
      </c>
      <c r="C34" s="88" t="s">
        <v>278</v>
      </c>
      <c r="D34" s="88" t="s">
        <v>259</v>
      </c>
      <c r="E34" s="90">
        <v>2009</v>
      </c>
      <c r="F34" s="90">
        <v>2014</v>
      </c>
      <c r="G34" s="93">
        <v>26543778</v>
      </c>
      <c r="H34" s="93">
        <v>25267621</v>
      </c>
      <c r="I34" s="93">
        <v>884622</v>
      </c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>
        <v>884622</v>
      </c>
    </row>
    <row r="35" spans="1:21" s="8" customFormat="1" ht="229.5" customHeight="1">
      <c r="A35" s="102" t="s">
        <v>279</v>
      </c>
      <c r="B35" s="88" t="s">
        <v>199</v>
      </c>
      <c r="C35" s="89" t="s">
        <v>200</v>
      </c>
      <c r="D35" s="88" t="s">
        <v>201</v>
      </c>
      <c r="E35" s="90">
        <v>2010</v>
      </c>
      <c r="F35" s="90">
        <v>2015</v>
      </c>
      <c r="G35" s="91">
        <v>325400</v>
      </c>
      <c r="H35" s="91">
        <v>19000</v>
      </c>
      <c r="I35" s="91">
        <v>15000</v>
      </c>
      <c r="J35" s="91">
        <v>15000</v>
      </c>
      <c r="K35" s="91"/>
      <c r="L35" s="91"/>
      <c r="M35" s="91"/>
      <c r="N35" s="91"/>
      <c r="O35" s="92"/>
      <c r="P35" s="92"/>
      <c r="Q35" s="92"/>
      <c r="R35" s="92"/>
      <c r="S35" s="92"/>
      <c r="T35" s="92"/>
      <c r="U35" s="91">
        <v>0</v>
      </c>
    </row>
    <row r="36" spans="1:21" s="8" customFormat="1" ht="245.25" customHeight="1">
      <c r="A36" s="102" t="s">
        <v>280</v>
      </c>
      <c r="B36" s="88" t="s">
        <v>203</v>
      </c>
      <c r="C36" s="89" t="s">
        <v>204</v>
      </c>
      <c r="D36" s="88" t="s">
        <v>201</v>
      </c>
      <c r="E36" s="90">
        <v>2009</v>
      </c>
      <c r="F36" s="90">
        <v>2015</v>
      </c>
      <c r="G36" s="93">
        <v>65300</v>
      </c>
      <c r="H36" s="93">
        <v>12000</v>
      </c>
      <c r="I36" s="93">
        <v>15000</v>
      </c>
      <c r="J36" s="93">
        <v>10000</v>
      </c>
      <c r="K36" s="93"/>
      <c r="L36" s="93"/>
      <c r="M36" s="93"/>
      <c r="N36" s="93"/>
      <c r="O36" s="94"/>
      <c r="P36" s="94"/>
      <c r="Q36" s="94"/>
      <c r="R36" s="94"/>
      <c r="S36" s="94"/>
      <c r="T36" s="94"/>
      <c r="U36" s="93">
        <v>0</v>
      </c>
    </row>
    <row r="37" spans="1:21" s="8" customFormat="1" ht="114" customHeight="1">
      <c r="A37" s="102" t="s">
        <v>281</v>
      </c>
      <c r="B37" s="88" t="s">
        <v>209</v>
      </c>
      <c r="C37" s="88" t="s">
        <v>210</v>
      </c>
      <c r="D37" s="88" t="s">
        <v>201</v>
      </c>
      <c r="E37" s="90">
        <v>2011</v>
      </c>
      <c r="F37" s="90">
        <v>2014</v>
      </c>
      <c r="G37" s="93">
        <v>70244000</v>
      </c>
      <c r="H37" s="93">
        <v>10159000</v>
      </c>
      <c r="I37" s="93">
        <v>60085000</v>
      </c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>
        <v>60085000</v>
      </c>
    </row>
    <row r="38" spans="1:21" s="8" customFormat="1" ht="135">
      <c r="A38" s="102" t="s">
        <v>282</v>
      </c>
      <c r="B38" s="88" t="s">
        <v>283</v>
      </c>
      <c r="C38" s="88" t="s">
        <v>210</v>
      </c>
      <c r="D38" s="88" t="s">
        <v>201</v>
      </c>
      <c r="E38" s="90">
        <v>2011</v>
      </c>
      <c r="F38" s="90">
        <v>2015</v>
      </c>
      <c r="G38" s="93">
        <v>18380000</v>
      </c>
      <c r="H38" s="93">
        <v>205000</v>
      </c>
      <c r="I38" s="93">
        <v>95000</v>
      </c>
      <c r="J38" s="93">
        <v>18080000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>
        <v>18175000</v>
      </c>
    </row>
    <row r="39" spans="1:21" s="8" customFormat="1" ht="66.75" customHeight="1">
      <c r="A39" s="102" t="s">
        <v>284</v>
      </c>
      <c r="B39" s="88" t="s">
        <v>285</v>
      </c>
      <c r="C39" s="88" t="s">
        <v>286</v>
      </c>
      <c r="D39" s="88" t="s">
        <v>287</v>
      </c>
      <c r="E39" s="90">
        <v>2011</v>
      </c>
      <c r="F39" s="90">
        <v>2014</v>
      </c>
      <c r="G39" s="93">
        <v>84644842</v>
      </c>
      <c r="H39" s="93">
        <v>21272910</v>
      </c>
      <c r="I39" s="93">
        <v>50634966</v>
      </c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>
        <v>50634966</v>
      </c>
    </row>
    <row r="40" spans="1:21" s="8" customFormat="1" ht="60">
      <c r="A40" s="102" t="s">
        <v>288</v>
      </c>
      <c r="B40" s="88" t="s">
        <v>289</v>
      </c>
      <c r="C40" s="98" t="s">
        <v>290</v>
      </c>
      <c r="D40" s="88" t="s">
        <v>287</v>
      </c>
      <c r="E40" s="90">
        <v>2011</v>
      </c>
      <c r="F40" s="90">
        <v>2014</v>
      </c>
      <c r="G40" s="93">
        <v>53370998</v>
      </c>
      <c r="H40" s="93">
        <v>15600000</v>
      </c>
      <c r="I40" s="93">
        <v>37770998</v>
      </c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>
        <v>37770998</v>
      </c>
    </row>
    <row r="41" spans="1:21" ht="117" customHeight="1">
      <c r="A41" s="102" t="s">
        <v>291</v>
      </c>
      <c r="B41" s="104" t="s">
        <v>292</v>
      </c>
      <c r="C41" s="105" t="s">
        <v>290</v>
      </c>
      <c r="D41" s="104" t="s">
        <v>287</v>
      </c>
      <c r="E41" s="106">
        <v>2012</v>
      </c>
      <c r="F41" s="106">
        <v>2015</v>
      </c>
      <c r="G41" s="107">
        <v>41859205</v>
      </c>
      <c r="H41" s="107">
        <v>2400000</v>
      </c>
      <c r="I41" s="107">
        <v>18000000</v>
      </c>
      <c r="J41" s="107">
        <v>21159205</v>
      </c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8">
        <v>39159205</v>
      </c>
    </row>
    <row r="42" spans="1:21" s="8" customFormat="1" ht="80.25" customHeight="1">
      <c r="A42" s="102" t="s">
        <v>293</v>
      </c>
      <c r="B42" s="88" t="s">
        <v>294</v>
      </c>
      <c r="C42" s="98" t="s">
        <v>295</v>
      </c>
      <c r="D42" s="88" t="s">
        <v>287</v>
      </c>
      <c r="E42" s="90">
        <v>2009</v>
      </c>
      <c r="F42" s="90">
        <v>2014</v>
      </c>
      <c r="G42" s="93">
        <v>236800998</v>
      </c>
      <c r="H42" s="93">
        <v>117066771</v>
      </c>
      <c r="I42" s="93">
        <v>96328791</v>
      </c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>
        <v>96328791</v>
      </c>
    </row>
    <row r="43" spans="1:21" s="8" customFormat="1" ht="142.5" customHeight="1">
      <c r="A43" s="102" t="s">
        <v>296</v>
      </c>
      <c r="B43" s="88" t="s">
        <v>297</v>
      </c>
      <c r="C43" s="98" t="s">
        <v>295</v>
      </c>
      <c r="D43" s="88" t="s">
        <v>287</v>
      </c>
      <c r="E43" s="90">
        <v>2012</v>
      </c>
      <c r="F43" s="90">
        <v>2014</v>
      </c>
      <c r="G43" s="93">
        <v>300000000</v>
      </c>
      <c r="H43" s="93">
        <v>133151201</v>
      </c>
      <c r="I43" s="93">
        <v>151836858</v>
      </c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>
        <v>151836858</v>
      </c>
    </row>
    <row r="44" spans="1:21" s="8" customFormat="1" ht="66" customHeight="1">
      <c r="A44" s="102" t="s">
        <v>298</v>
      </c>
      <c r="B44" s="88" t="s">
        <v>299</v>
      </c>
      <c r="C44" s="98" t="s">
        <v>300</v>
      </c>
      <c r="D44" s="88" t="s">
        <v>287</v>
      </c>
      <c r="E44" s="90">
        <v>2012</v>
      </c>
      <c r="F44" s="90">
        <v>2015</v>
      </c>
      <c r="G44" s="93">
        <v>65919923</v>
      </c>
      <c r="H44" s="93">
        <v>28282789</v>
      </c>
      <c r="I44" s="93">
        <v>25929251</v>
      </c>
      <c r="J44" s="93">
        <v>11607883</v>
      </c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>
        <v>37537134</v>
      </c>
    </row>
    <row r="45" spans="1:21" s="8" customFormat="1" ht="65.25" customHeight="1">
      <c r="A45" s="102" t="s">
        <v>301</v>
      </c>
      <c r="B45" s="88" t="s">
        <v>212</v>
      </c>
      <c r="C45" s="88" t="s">
        <v>213</v>
      </c>
      <c r="D45" s="88" t="s">
        <v>201</v>
      </c>
      <c r="E45" s="90">
        <v>2010</v>
      </c>
      <c r="F45" s="90">
        <v>2020</v>
      </c>
      <c r="G45" s="93">
        <v>300380374</v>
      </c>
      <c r="H45" s="93">
        <v>74928895</v>
      </c>
      <c r="I45" s="93">
        <v>147186532</v>
      </c>
      <c r="J45" s="93">
        <v>70708797</v>
      </c>
      <c r="K45" s="93">
        <v>0</v>
      </c>
      <c r="L45" s="93">
        <v>0</v>
      </c>
      <c r="M45" s="93">
        <v>0</v>
      </c>
      <c r="N45" s="93">
        <v>2826599</v>
      </c>
      <c r="O45" s="93">
        <v>2826599</v>
      </c>
      <c r="P45" s="93"/>
      <c r="Q45" s="93"/>
      <c r="R45" s="93"/>
      <c r="S45" s="93"/>
      <c r="T45" s="93"/>
      <c r="U45" s="93">
        <v>217895329</v>
      </c>
    </row>
    <row r="46" spans="1:21" s="8" customFormat="1" ht="63" customHeight="1">
      <c r="A46" s="102" t="s">
        <v>302</v>
      </c>
      <c r="B46" s="96" t="s">
        <v>215</v>
      </c>
      <c r="C46" s="97" t="s">
        <v>216</v>
      </c>
      <c r="D46" s="88" t="s">
        <v>201</v>
      </c>
      <c r="E46" s="90">
        <v>2009</v>
      </c>
      <c r="F46" s="90">
        <v>2018</v>
      </c>
      <c r="G46" s="93">
        <v>89170150</v>
      </c>
      <c r="H46" s="93">
        <v>84224032</v>
      </c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>
        <v>0</v>
      </c>
    </row>
    <row r="47" spans="1:21" s="8" customFormat="1" ht="66" customHeight="1">
      <c r="A47" s="102" t="s">
        <v>303</v>
      </c>
      <c r="B47" s="88" t="s">
        <v>219</v>
      </c>
      <c r="C47" s="98" t="s">
        <v>220</v>
      </c>
      <c r="D47" s="88" t="s">
        <v>201</v>
      </c>
      <c r="E47" s="90">
        <v>2009</v>
      </c>
      <c r="F47" s="90">
        <v>2018</v>
      </c>
      <c r="G47" s="93">
        <v>57770054</v>
      </c>
      <c r="H47" s="93">
        <v>57514408</v>
      </c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>
        <v>0</v>
      </c>
    </row>
    <row r="48" spans="1:21" s="8" customFormat="1" ht="60">
      <c r="A48" s="102" t="s">
        <v>304</v>
      </c>
      <c r="B48" s="88" t="s">
        <v>222</v>
      </c>
      <c r="C48" s="88" t="s">
        <v>223</v>
      </c>
      <c r="D48" s="88" t="s">
        <v>201</v>
      </c>
      <c r="E48" s="90">
        <v>2010</v>
      </c>
      <c r="F48" s="90">
        <v>2015</v>
      </c>
      <c r="G48" s="93">
        <v>9465990</v>
      </c>
      <c r="H48" s="93">
        <v>492000</v>
      </c>
      <c r="I48" s="93">
        <v>521001</v>
      </c>
      <c r="J48" s="93">
        <v>539497</v>
      </c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3">
        <v>1060498</v>
      </c>
    </row>
    <row r="49" spans="1:23" s="8" customFormat="1" ht="145.5" customHeight="1">
      <c r="A49" s="102" t="s">
        <v>305</v>
      </c>
      <c r="B49" s="88" t="s">
        <v>225</v>
      </c>
      <c r="C49" s="99" t="s">
        <v>226</v>
      </c>
      <c r="D49" s="88" t="s">
        <v>227</v>
      </c>
      <c r="E49" s="90">
        <v>2009</v>
      </c>
      <c r="F49" s="90">
        <v>2015</v>
      </c>
      <c r="G49" s="93">
        <v>67073</v>
      </c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>
        <v>0</v>
      </c>
    </row>
    <row r="50" spans="1:23" s="8" customFormat="1" ht="87.75" customHeight="1">
      <c r="A50" s="102" t="s">
        <v>306</v>
      </c>
      <c r="B50" s="88" t="s">
        <v>307</v>
      </c>
      <c r="C50" s="88" t="s">
        <v>308</v>
      </c>
      <c r="D50" s="88" t="s">
        <v>201</v>
      </c>
      <c r="E50" s="90">
        <v>2011</v>
      </c>
      <c r="F50" s="90">
        <v>2015</v>
      </c>
      <c r="G50" s="93">
        <v>102080242</v>
      </c>
      <c r="H50" s="93">
        <v>19261386</v>
      </c>
      <c r="I50" s="93">
        <v>32402517</v>
      </c>
      <c r="J50" s="93">
        <v>47677410</v>
      </c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>
        <f>27320000+49816778</f>
        <v>77136778</v>
      </c>
    </row>
    <row r="51" spans="1:23" s="8" customFormat="1" ht="190.5" customHeight="1">
      <c r="A51" s="102" t="s">
        <v>309</v>
      </c>
      <c r="B51" s="96" t="s">
        <v>235</v>
      </c>
      <c r="C51" s="97" t="s">
        <v>236</v>
      </c>
      <c r="D51" s="88" t="s">
        <v>237</v>
      </c>
      <c r="E51" s="90">
        <v>2011</v>
      </c>
      <c r="F51" s="90">
        <v>2014</v>
      </c>
      <c r="G51" s="93">
        <v>383574</v>
      </c>
      <c r="H51" s="93"/>
      <c r="I51" s="93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91">
        <v>0</v>
      </c>
    </row>
    <row r="52" spans="1:23" s="8" customFormat="1" ht="105">
      <c r="A52" s="102" t="s">
        <v>310</v>
      </c>
      <c r="B52" s="96" t="s">
        <v>239</v>
      </c>
      <c r="C52" s="97" t="s">
        <v>240</v>
      </c>
      <c r="D52" s="88" t="s">
        <v>241</v>
      </c>
      <c r="E52" s="90">
        <v>2012</v>
      </c>
      <c r="F52" s="90">
        <v>2014</v>
      </c>
      <c r="G52" s="93">
        <v>2051289</v>
      </c>
      <c r="H52" s="93">
        <v>2004747</v>
      </c>
      <c r="I52" s="93">
        <v>23501</v>
      </c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93">
        <f>262450-238949</f>
        <v>23501</v>
      </c>
    </row>
    <row r="53" spans="1:23" s="8" customFormat="1" ht="105">
      <c r="A53" s="102" t="s">
        <v>311</v>
      </c>
      <c r="B53" s="96" t="s">
        <v>243</v>
      </c>
      <c r="C53" s="97" t="s">
        <v>244</v>
      </c>
      <c r="D53" s="88" t="s">
        <v>245</v>
      </c>
      <c r="E53" s="90">
        <v>2012</v>
      </c>
      <c r="F53" s="90">
        <v>2015</v>
      </c>
      <c r="G53" s="93">
        <v>12234201</v>
      </c>
      <c r="H53" s="93">
        <v>8696613</v>
      </c>
      <c r="I53" s="93">
        <v>3000000</v>
      </c>
      <c r="J53" s="93">
        <v>503311</v>
      </c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>
        <v>3503311</v>
      </c>
    </row>
    <row r="54" spans="1:23" ht="15">
      <c r="A54" s="109"/>
      <c r="B54" s="110"/>
      <c r="C54" s="110"/>
      <c r="D54" s="111"/>
      <c r="E54" s="112"/>
      <c r="F54" s="112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</row>
    <row r="55" spans="1:23" s="84" customFormat="1" ht="30.75" customHeight="1">
      <c r="A55" s="114" t="s">
        <v>89</v>
      </c>
      <c r="B55" s="375" t="s">
        <v>312</v>
      </c>
      <c r="C55" s="376"/>
      <c r="D55" s="376"/>
      <c r="E55" s="376"/>
      <c r="F55" s="376"/>
      <c r="G55" s="115">
        <v>0</v>
      </c>
      <c r="H55" s="115">
        <f t="shared" ref="H55:T55" si="6">SUM(H56:H57)</f>
        <v>0</v>
      </c>
      <c r="I55" s="115">
        <f t="shared" si="6"/>
        <v>0</v>
      </c>
      <c r="J55" s="115">
        <f t="shared" si="6"/>
        <v>0</v>
      </c>
      <c r="K55" s="115">
        <f t="shared" si="6"/>
        <v>0</v>
      </c>
      <c r="L55" s="115">
        <f t="shared" si="6"/>
        <v>0</v>
      </c>
      <c r="M55" s="115">
        <f t="shared" si="6"/>
        <v>0</v>
      </c>
      <c r="N55" s="115">
        <f t="shared" si="6"/>
        <v>0</v>
      </c>
      <c r="O55" s="115">
        <f t="shared" si="6"/>
        <v>0</v>
      </c>
      <c r="P55" s="115">
        <f t="shared" si="6"/>
        <v>0</v>
      </c>
      <c r="Q55" s="115">
        <f t="shared" si="6"/>
        <v>0</v>
      </c>
      <c r="R55" s="115">
        <f t="shared" si="6"/>
        <v>0</v>
      </c>
      <c r="S55" s="115">
        <f t="shared" si="6"/>
        <v>0</v>
      </c>
      <c r="T55" s="115">
        <f t="shared" si="6"/>
        <v>0</v>
      </c>
      <c r="U55" s="115">
        <v>0</v>
      </c>
    </row>
    <row r="56" spans="1:23" s="118" customFormat="1" ht="20.100000000000001" customHeight="1">
      <c r="A56" s="116" t="s">
        <v>90</v>
      </c>
      <c r="B56" s="391" t="s">
        <v>194</v>
      </c>
      <c r="C56" s="392"/>
      <c r="D56" s="392"/>
      <c r="E56" s="392"/>
      <c r="F56" s="392"/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/>
    </row>
    <row r="57" spans="1:23" s="121" customFormat="1" ht="20.100000000000001" customHeight="1">
      <c r="A57" s="119" t="s">
        <v>91</v>
      </c>
      <c r="B57" s="379" t="s">
        <v>196</v>
      </c>
      <c r="C57" s="380"/>
      <c r="D57" s="380"/>
      <c r="E57" s="380"/>
      <c r="F57" s="380"/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/>
    </row>
    <row r="58" spans="1:23" ht="15">
      <c r="A58" s="109"/>
      <c r="B58" s="110"/>
      <c r="D58" s="111"/>
      <c r="E58" s="112"/>
      <c r="F58" s="112"/>
      <c r="G58" s="113"/>
      <c r="H58" s="113"/>
      <c r="I58" s="113"/>
      <c r="J58" s="113"/>
      <c r="K58" s="113"/>
      <c r="L58" s="113"/>
      <c r="M58" s="113"/>
      <c r="N58" s="113"/>
      <c r="O58" s="122"/>
      <c r="P58" s="122"/>
      <c r="Q58" s="122"/>
      <c r="R58" s="122"/>
      <c r="S58" s="122"/>
      <c r="T58" s="122"/>
      <c r="U58" s="122"/>
    </row>
    <row r="59" spans="1:23" s="342" customFormat="1" ht="30" customHeight="1">
      <c r="A59" s="341" t="s">
        <v>313</v>
      </c>
      <c r="B59" s="375" t="s">
        <v>314</v>
      </c>
      <c r="C59" s="376"/>
      <c r="D59" s="376"/>
      <c r="E59" s="376"/>
      <c r="F59" s="376"/>
      <c r="G59" s="115">
        <f t="shared" ref="G59:U59" si="7">SUM(G60,G73)</f>
        <v>569757602</v>
      </c>
      <c r="H59" s="115">
        <f t="shared" si="7"/>
        <v>120198865</v>
      </c>
      <c r="I59" s="115">
        <f t="shared" si="7"/>
        <v>88244718</v>
      </c>
      <c r="J59" s="115">
        <f t="shared" si="7"/>
        <v>38878048</v>
      </c>
      <c r="K59" s="115">
        <f t="shared" si="7"/>
        <v>19987170</v>
      </c>
      <c r="L59" s="115">
        <f t="shared" si="7"/>
        <v>16259189</v>
      </c>
      <c r="M59" s="115">
        <f t="shared" si="7"/>
        <v>16875491</v>
      </c>
      <c r="N59" s="115">
        <f t="shared" si="7"/>
        <v>1875491</v>
      </c>
      <c r="O59" s="115">
        <f t="shared" si="7"/>
        <v>1875491</v>
      </c>
      <c r="P59" s="115">
        <f t="shared" si="7"/>
        <v>200000</v>
      </c>
      <c r="Q59" s="115">
        <f t="shared" si="7"/>
        <v>200000</v>
      </c>
      <c r="R59" s="115">
        <f t="shared" si="7"/>
        <v>200000</v>
      </c>
      <c r="S59" s="115">
        <f t="shared" si="7"/>
        <v>200000</v>
      </c>
      <c r="T59" s="115">
        <f t="shared" si="7"/>
        <v>200000</v>
      </c>
      <c r="U59" s="115">
        <f t="shared" si="7"/>
        <v>49226771</v>
      </c>
      <c r="W59" s="343"/>
    </row>
    <row r="60" spans="1:23" s="87" customFormat="1" ht="20.100000000000001" customHeight="1">
      <c r="A60" s="116" t="s">
        <v>315</v>
      </c>
      <c r="B60" s="377" t="s">
        <v>194</v>
      </c>
      <c r="C60" s="378"/>
      <c r="D60" s="378"/>
      <c r="E60" s="378"/>
      <c r="F60" s="378"/>
      <c r="G60" s="85">
        <f>SUM(G61:G72)</f>
        <v>228459698</v>
      </c>
      <c r="H60" s="85">
        <f t="shared" ref="H60:U60" si="8">SUM(H61:H72)</f>
        <v>52514970</v>
      </c>
      <c r="I60" s="85">
        <f t="shared" si="8"/>
        <v>44023511</v>
      </c>
      <c r="J60" s="85">
        <f t="shared" si="8"/>
        <v>17333060</v>
      </c>
      <c r="K60" s="85">
        <f t="shared" si="8"/>
        <v>6987170</v>
      </c>
      <c r="L60" s="85">
        <f t="shared" si="8"/>
        <v>3259189</v>
      </c>
      <c r="M60" s="85">
        <f t="shared" si="8"/>
        <v>1875491</v>
      </c>
      <c r="N60" s="85">
        <f t="shared" si="8"/>
        <v>1875491</v>
      </c>
      <c r="O60" s="85">
        <f t="shared" si="8"/>
        <v>1875491</v>
      </c>
      <c r="P60" s="85">
        <f t="shared" si="8"/>
        <v>200000</v>
      </c>
      <c r="Q60" s="85">
        <f t="shared" si="8"/>
        <v>200000</v>
      </c>
      <c r="R60" s="85">
        <f t="shared" si="8"/>
        <v>200000</v>
      </c>
      <c r="S60" s="85">
        <f t="shared" si="8"/>
        <v>200000</v>
      </c>
      <c r="T60" s="85">
        <f t="shared" si="8"/>
        <v>200000</v>
      </c>
      <c r="U60" s="85">
        <f t="shared" si="8"/>
        <v>34738986</v>
      </c>
      <c r="V60" s="86"/>
      <c r="W60" s="86"/>
    </row>
    <row r="61" spans="1:23" s="8" customFormat="1" ht="75">
      <c r="A61" s="88" t="s">
        <v>198</v>
      </c>
      <c r="B61" s="88" t="s">
        <v>316</v>
      </c>
      <c r="C61" s="88" t="s">
        <v>317</v>
      </c>
      <c r="D61" s="88" t="s">
        <v>318</v>
      </c>
      <c r="E61" s="90">
        <v>2011</v>
      </c>
      <c r="F61" s="90">
        <v>2015</v>
      </c>
      <c r="G61" s="91">
        <v>281021</v>
      </c>
      <c r="H61" s="91">
        <v>66950</v>
      </c>
      <c r="I61" s="91">
        <v>68959</v>
      </c>
      <c r="J61" s="91">
        <v>71028</v>
      </c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91">
        <v>139987</v>
      </c>
    </row>
    <row r="62" spans="1:23" s="8" customFormat="1" ht="80.25" customHeight="1">
      <c r="A62" s="88" t="s">
        <v>202</v>
      </c>
      <c r="B62" s="96" t="s">
        <v>319</v>
      </c>
      <c r="C62" s="97" t="s">
        <v>320</v>
      </c>
      <c r="D62" s="88" t="s">
        <v>321</v>
      </c>
      <c r="E62" s="90">
        <v>2011</v>
      </c>
      <c r="F62" s="90">
        <v>2015</v>
      </c>
      <c r="G62" s="93">
        <v>101729082</v>
      </c>
      <c r="H62" s="93">
        <v>24599133</v>
      </c>
      <c r="I62" s="93">
        <v>24537755</v>
      </c>
      <c r="J62" s="93">
        <v>2505000</v>
      </c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>
        <v>0</v>
      </c>
    </row>
    <row r="63" spans="1:23" s="8" customFormat="1" ht="60">
      <c r="A63" s="88" t="s">
        <v>205</v>
      </c>
      <c r="B63" s="96" t="s">
        <v>322</v>
      </c>
      <c r="C63" s="97" t="s">
        <v>323</v>
      </c>
      <c r="D63" s="88" t="s">
        <v>201</v>
      </c>
      <c r="E63" s="90">
        <v>2009</v>
      </c>
      <c r="F63" s="90">
        <v>2015</v>
      </c>
      <c r="G63" s="93">
        <v>2961882</v>
      </c>
      <c r="H63" s="93">
        <v>380000</v>
      </c>
      <c r="I63" s="93">
        <v>443552</v>
      </c>
      <c r="J63" s="93">
        <v>149862</v>
      </c>
      <c r="K63" s="93"/>
      <c r="L63" s="93"/>
      <c r="M63" s="94"/>
      <c r="N63" s="94"/>
      <c r="O63" s="94"/>
      <c r="P63" s="94"/>
      <c r="Q63" s="94"/>
      <c r="R63" s="94"/>
      <c r="S63" s="94"/>
      <c r="T63" s="94"/>
      <c r="U63" s="93">
        <v>0</v>
      </c>
    </row>
    <row r="64" spans="1:23" s="8" customFormat="1" ht="60">
      <c r="A64" s="88" t="s">
        <v>208</v>
      </c>
      <c r="B64" s="88" t="s">
        <v>324</v>
      </c>
      <c r="C64" s="88" t="s">
        <v>210</v>
      </c>
      <c r="D64" s="88" t="s">
        <v>201</v>
      </c>
      <c r="E64" s="90">
        <v>2013</v>
      </c>
      <c r="F64" s="90">
        <v>2017</v>
      </c>
      <c r="G64" s="93">
        <v>10802368</v>
      </c>
      <c r="H64" s="93">
        <v>100000</v>
      </c>
      <c r="I64" s="93">
        <v>2580000</v>
      </c>
      <c r="J64" s="93">
        <v>3285000</v>
      </c>
      <c r="K64" s="93">
        <v>3285000</v>
      </c>
      <c r="L64" s="93">
        <v>1552368</v>
      </c>
      <c r="M64" s="94"/>
      <c r="N64" s="94"/>
      <c r="O64" s="94"/>
      <c r="P64" s="94"/>
      <c r="Q64" s="94"/>
      <c r="R64" s="94"/>
      <c r="S64" s="94"/>
      <c r="T64" s="94"/>
      <c r="U64" s="93">
        <v>10702368</v>
      </c>
    </row>
    <row r="65" spans="1:21" s="8" customFormat="1" ht="60">
      <c r="A65" s="88" t="s">
        <v>211</v>
      </c>
      <c r="B65" s="88" t="s">
        <v>325</v>
      </c>
      <c r="C65" s="88" t="s">
        <v>210</v>
      </c>
      <c r="D65" s="88" t="s">
        <v>201</v>
      </c>
      <c r="E65" s="90">
        <v>2015</v>
      </c>
      <c r="F65" s="90">
        <v>2020</v>
      </c>
      <c r="G65" s="93">
        <v>3240000</v>
      </c>
      <c r="H65" s="93">
        <v>0</v>
      </c>
      <c r="I65" s="93">
        <v>0</v>
      </c>
      <c r="J65" s="93">
        <v>502500</v>
      </c>
      <c r="K65" s="93">
        <v>547500</v>
      </c>
      <c r="L65" s="93">
        <v>547500</v>
      </c>
      <c r="M65" s="93">
        <v>547500</v>
      </c>
      <c r="N65" s="93">
        <v>547500</v>
      </c>
      <c r="O65" s="93">
        <v>547500</v>
      </c>
      <c r="P65" s="94"/>
      <c r="Q65" s="94"/>
      <c r="R65" s="94"/>
      <c r="S65" s="94"/>
      <c r="T65" s="94"/>
      <c r="U65" s="93">
        <v>3240000</v>
      </c>
    </row>
    <row r="66" spans="1:21" s="8" customFormat="1" ht="60">
      <c r="A66" s="88" t="s">
        <v>214</v>
      </c>
      <c r="B66" s="88" t="s">
        <v>326</v>
      </c>
      <c r="C66" s="88" t="s">
        <v>326</v>
      </c>
      <c r="D66" s="88" t="s">
        <v>287</v>
      </c>
      <c r="E66" s="90">
        <v>2010</v>
      </c>
      <c r="F66" s="90">
        <v>2015</v>
      </c>
      <c r="G66" s="93">
        <v>56691296</v>
      </c>
      <c r="H66" s="93">
        <v>12812414</v>
      </c>
      <c r="I66" s="93">
        <v>6180000</v>
      </c>
      <c r="J66" s="93">
        <v>6365000</v>
      </c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3">
        <v>12545000</v>
      </c>
    </row>
    <row r="67" spans="1:21" s="8" customFormat="1" ht="90">
      <c r="A67" s="88" t="s">
        <v>218</v>
      </c>
      <c r="B67" s="88" t="s">
        <v>327</v>
      </c>
      <c r="C67" s="88" t="s">
        <v>328</v>
      </c>
      <c r="D67" s="88" t="s">
        <v>329</v>
      </c>
      <c r="E67" s="90">
        <v>2012</v>
      </c>
      <c r="F67" s="90">
        <v>2015</v>
      </c>
      <c r="G67" s="93">
        <v>1400000</v>
      </c>
      <c r="H67" s="93">
        <v>400000</v>
      </c>
      <c r="I67" s="93">
        <v>500000</v>
      </c>
      <c r="J67" s="93">
        <v>500000</v>
      </c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3">
        <v>1000000</v>
      </c>
    </row>
    <row r="68" spans="1:21" s="8" customFormat="1" ht="108" customHeight="1">
      <c r="A68" s="88" t="s">
        <v>221</v>
      </c>
      <c r="B68" s="88" t="s">
        <v>330</v>
      </c>
      <c r="C68" s="88" t="s">
        <v>331</v>
      </c>
      <c r="D68" s="96" t="s">
        <v>201</v>
      </c>
      <c r="E68" s="90">
        <v>2011</v>
      </c>
      <c r="F68" s="90">
        <v>2014</v>
      </c>
      <c r="G68" s="93">
        <v>23961500</v>
      </c>
      <c r="H68" s="93">
        <v>6000000</v>
      </c>
      <c r="I68" s="93">
        <v>6000000</v>
      </c>
      <c r="J68" s="93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3">
        <f>18000000-18000000</f>
        <v>0</v>
      </c>
    </row>
    <row r="69" spans="1:21" s="8" customFormat="1" ht="65.25" customHeight="1">
      <c r="A69" s="88" t="s">
        <v>224</v>
      </c>
      <c r="B69" s="88" t="s">
        <v>332</v>
      </c>
      <c r="C69" s="88" t="s">
        <v>331</v>
      </c>
      <c r="D69" s="88" t="s">
        <v>201</v>
      </c>
      <c r="E69" s="90">
        <v>2012</v>
      </c>
      <c r="F69" s="90">
        <v>2017</v>
      </c>
      <c r="G69" s="93">
        <v>13300004</v>
      </c>
      <c r="H69" s="93">
        <v>6588373</v>
      </c>
      <c r="I69" s="93">
        <v>2176745</v>
      </c>
      <c r="J69" s="93">
        <v>2176745</v>
      </c>
      <c r="K69" s="93">
        <v>2176745</v>
      </c>
      <c r="L69" s="93">
        <v>181396</v>
      </c>
      <c r="M69" s="94"/>
      <c r="N69" s="94"/>
      <c r="O69" s="94"/>
      <c r="P69" s="94"/>
      <c r="Q69" s="94"/>
      <c r="R69" s="94"/>
      <c r="S69" s="94"/>
      <c r="T69" s="94"/>
      <c r="U69" s="93">
        <f>6527000+184631</f>
        <v>6711631</v>
      </c>
    </row>
    <row r="70" spans="1:21" s="8" customFormat="1" ht="60">
      <c r="A70" s="88" t="s">
        <v>228</v>
      </c>
      <c r="B70" s="88" t="s">
        <v>333</v>
      </c>
      <c r="C70" s="88" t="s">
        <v>334</v>
      </c>
      <c r="D70" s="88" t="s">
        <v>201</v>
      </c>
      <c r="E70" s="90">
        <v>2008</v>
      </c>
      <c r="F70" s="90">
        <v>2025</v>
      </c>
      <c r="G70" s="93">
        <v>3046680</v>
      </c>
      <c r="H70" s="93">
        <v>331600</v>
      </c>
      <c r="I70" s="93">
        <v>200000</v>
      </c>
      <c r="J70" s="93">
        <v>200000</v>
      </c>
      <c r="K70" s="93">
        <v>200000</v>
      </c>
      <c r="L70" s="93">
        <v>200000</v>
      </c>
      <c r="M70" s="93">
        <v>200000</v>
      </c>
      <c r="N70" s="93">
        <v>200000</v>
      </c>
      <c r="O70" s="93">
        <v>200000</v>
      </c>
      <c r="P70" s="93">
        <v>200000</v>
      </c>
      <c r="Q70" s="93">
        <v>200000</v>
      </c>
      <c r="R70" s="93">
        <v>200000</v>
      </c>
      <c r="S70" s="93">
        <v>200000</v>
      </c>
      <c r="T70" s="93">
        <v>200000</v>
      </c>
      <c r="U70" s="93">
        <v>400000</v>
      </c>
    </row>
    <row r="71" spans="1:21" s="8" customFormat="1" ht="75">
      <c r="A71" s="88" t="s">
        <v>231</v>
      </c>
      <c r="B71" s="88" t="s">
        <v>335</v>
      </c>
      <c r="C71" s="88" t="s">
        <v>336</v>
      </c>
      <c r="D71" s="88" t="s">
        <v>245</v>
      </c>
      <c r="E71" s="90">
        <v>2011</v>
      </c>
      <c r="F71" s="90">
        <v>2015</v>
      </c>
      <c r="G71" s="93">
        <v>3398617</v>
      </c>
      <c r="H71" s="93">
        <v>700000</v>
      </c>
      <c r="I71" s="93">
        <v>800000</v>
      </c>
      <c r="J71" s="93">
        <v>800000</v>
      </c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3">
        <v>0</v>
      </c>
    </row>
    <row r="72" spans="1:21" ht="75">
      <c r="A72" s="88" t="s">
        <v>234</v>
      </c>
      <c r="B72" s="104" t="s">
        <v>337</v>
      </c>
      <c r="C72" s="104" t="s">
        <v>338</v>
      </c>
      <c r="D72" s="104" t="s">
        <v>245</v>
      </c>
      <c r="E72" s="106">
        <v>2011</v>
      </c>
      <c r="F72" s="106">
        <v>2020</v>
      </c>
      <c r="G72" s="107">
        <v>7647248</v>
      </c>
      <c r="H72" s="107">
        <v>536500</v>
      </c>
      <c r="I72" s="107">
        <v>536500</v>
      </c>
      <c r="J72" s="107">
        <v>777925</v>
      </c>
      <c r="K72" s="107">
        <v>777925</v>
      </c>
      <c r="L72" s="107">
        <v>777925</v>
      </c>
      <c r="M72" s="107">
        <v>1127991</v>
      </c>
      <c r="N72" s="107">
        <v>1127991</v>
      </c>
      <c r="O72" s="107">
        <v>1127991</v>
      </c>
      <c r="P72" s="123"/>
      <c r="Q72" s="123"/>
      <c r="R72" s="123"/>
      <c r="S72" s="123"/>
      <c r="T72" s="123"/>
      <c r="U72" s="107">
        <v>0</v>
      </c>
    </row>
    <row r="73" spans="1:21" s="124" customFormat="1" ht="20.100000000000001" customHeight="1">
      <c r="A73" s="119" t="s">
        <v>339</v>
      </c>
      <c r="B73" s="379" t="s">
        <v>196</v>
      </c>
      <c r="C73" s="380"/>
      <c r="D73" s="380"/>
      <c r="E73" s="380"/>
      <c r="F73" s="380"/>
      <c r="G73" s="101">
        <f>SUM(G74:G79)</f>
        <v>341297904</v>
      </c>
      <c r="H73" s="101">
        <f t="shared" ref="H73:U73" si="9">SUM(H74:H79)</f>
        <v>67683895</v>
      </c>
      <c r="I73" s="101">
        <f t="shared" si="9"/>
        <v>44221207</v>
      </c>
      <c r="J73" s="101">
        <f t="shared" si="9"/>
        <v>21544988</v>
      </c>
      <c r="K73" s="101">
        <f t="shared" si="9"/>
        <v>13000000</v>
      </c>
      <c r="L73" s="101">
        <f t="shared" si="9"/>
        <v>13000000</v>
      </c>
      <c r="M73" s="101">
        <f t="shared" si="9"/>
        <v>15000000</v>
      </c>
      <c r="N73" s="101">
        <f t="shared" si="9"/>
        <v>0</v>
      </c>
      <c r="O73" s="101">
        <f t="shared" si="9"/>
        <v>0</v>
      </c>
      <c r="P73" s="101">
        <f t="shared" si="9"/>
        <v>0</v>
      </c>
      <c r="Q73" s="101">
        <f t="shared" si="9"/>
        <v>0</v>
      </c>
      <c r="R73" s="101">
        <f t="shared" si="9"/>
        <v>0</v>
      </c>
      <c r="S73" s="101">
        <f t="shared" si="9"/>
        <v>0</v>
      </c>
      <c r="T73" s="101">
        <f t="shared" si="9"/>
        <v>0</v>
      </c>
      <c r="U73" s="101">
        <f t="shared" si="9"/>
        <v>14487785</v>
      </c>
    </row>
    <row r="74" spans="1:21" s="8" customFormat="1" ht="80.25" customHeight="1">
      <c r="A74" s="102" t="s">
        <v>340</v>
      </c>
      <c r="B74" s="96" t="s">
        <v>319</v>
      </c>
      <c r="C74" s="97" t="s">
        <v>320</v>
      </c>
      <c r="D74" s="88" t="s">
        <v>321</v>
      </c>
      <c r="E74" s="90">
        <v>2011</v>
      </c>
      <c r="F74" s="90">
        <v>2015</v>
      </c>
      <c r="G74" s="93">
        <v>114539</v>
      </c>
      <c r="H74" s="93">
        <v>71872</v>
      </c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>
        <v>0</v>
      </c>
    </row>
    <row r="75" spans="1:21" s="8" customFormat="1" ht="60">
      <c r="A75" s="102" t="s">
        <v>341</v>
      </c>
      <c r="B75" s="96" t="s">
        <v>322</v>
      </c>
      <c r="C75" s="97" t="s">
        <v>323</v>
      </c>
      <c r="D75" s="88" t="s">
        <v>201</v>
      </c>
      <c r="E75" s="90">
        <v>2009</v>
      </c>
      <c r="F75" s="90">
        <v>2015</v>
      </c>
      <c r="G75" s="93">
        <v>220220205</v>
      </c>
      <c r="H75" s="93">
        <v>45440148</v>
      </c>
      <c r="I75" s="93">
        <v>32277966</v>
      </c>
      <c r="J75" s="93">
        <v>9840953</v>
      </c>
      <c r="K75" s="93"/>
      <c r="L75" s="93"/>
      <c r="M75" s="94"/>
      <c r="N75" s="94"/>
      <c r="O75" s="94"/>
      <c r="P75" s="94"/>
      <c r="Q75" s="94"/>
      <c r="R75" s="94"/>
      <c r="S75" s="94"/>
      <c r="T75" s="94"/>
      <c r="U75" s="93">
        <v>0</v>
      </c>
    </row>
    <row r="76" spans="1:21" s="8" customFormat="1" ht="69" customHeight="1">
      <c r="A76" s="102" t="s">
        <v>342</v>
      </c>
      <c r="B76" s="88" t="s">
        <v>343</v>
      </c>
      <c r="C76" s="88" t="s">
        <v>344</v>
      </c>
      <c r="D76" s="88" t="s">
        <v>201</v>
      </c>
      <c r="E76" s="90">
        <v>2010</v>
      </c>
      <c r="F76" s="90">
        <v>2015</v>
      </c>
      <c r="G76" s="93">
        <v>64928160</v>
      </c>
      <c r="H76" s="93">
        <v>18234375</v>
      </c>
      <c r="I76" s="93">
        <v>9293750</v>
      </c>
      <c r="J76" s="93">
        <v>4704035</v>
      </c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>
        <v>13997785</v>
      </c>
    </row>
    <row r="77" spans="1:21" s="8" customFormat="1" ht="112.5" customHeight="1">
      <c r="A77" s="102" t="s">
        <v>345</v>
      </c>
      <c r="B77" s="88" t="s">
        <v>346</v>
      </c>
      <c r="C77" s="88" t="s">
        <v>290</v>
      </c>
      <c r="D77" s="88" t="s">
        <v>287</v>
      </c>
      <c r="E77" s="90">
        <v>2012</v>
      </c>
      <c r="F77" s="90">
        <v>2018</v>
      </c>
      <c r="G77" s="93">
        <v>48000000</v>
      </c>
      <c r="H77" s="93">
        <v>0</v>
      </c>
      <c r="I77" s="93">
        <v>0</v>
      </c>
      <c r="J77" s="93">
        <v>7000000</v>
      </c>
      <c r="K77" s="93">
        <v>13000000</v>
      </c>
      <c r="L77" s="93">
        <v>13000000</v>
      </c>
      <c r="M77" s="93">
        <v>15000000</v>
      </c>
      <c r="N77" s="94"/>
      <c r="O77" s="94"/>
      <c r="P77" s="94"/>
      <c r="Q77" s="94"/>
      <c r="R77" s="94"/>
      <c r="S77" s="94"/>
      <c r="T77" s="94"/>
      <c r="U77" s="93">
        <v>0</v>
      </c>
    </row>
    <row r="78" spans="1:21" s="8" customFormat="1" ht="67.5" customHeight="1">
      <c r="A78" s="102" t="s">
        <v>347</v>
      </c>
      <c r="B78" s="88" t="s">
        <v>348</v>
      </c>
      <c r="C78" s="88" t="s">
        <v>349</v>
      </c>
      <c r="D78" s="88" t="s">
        <v>287</v>
      </c>
      <c r="E78" s="90">
        <v>2012</v>
      </c>
      <c r="F78" s="90">
        <v>2014</v>
      </c>
      <c r="G78" s="91">
        <v>2230000</v>
      </c>
      <c r="H78" s="91">
        <v>737500</v>
      </c>
      <c r="I78" s="91">
        <v>490000</v>
      </c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>
        <v>490000</v>
      </c>
    </row>
    <row r="79" spans="1:21" s="8" customFormat="1" ht="48" customHeight="1">
      <c r="A79" s="102" t="s">
        <v>350</v>
      </c>
      <c r="B79" s="96" t="s">
        <v>351</v>
      </c>
      <c r="C79" s="97" t="s">
        <v>352</v>
      </c>
      <c r="D79" s="88" t="s">
        <v>353</v>
      </c>
      <c r="E79" s="90">
        <v>2010</v>
      </c>
      <c r="F79" s="90">
        <v>2014</v>
      </c>
      <c r="G79" s="93">
        <v>5805000</v>
      </c>
      <c r="H79" s="93">
        <v>3200000</v>
      </c>
      <c r="I79" s="93">
        <v>2159491</v>
      </c>
      <c r="J79" s="93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3">
        <v>0</v>
      </c>
    </row>
    <row r="80" spans="1:21" s="8" customFormat="1" ht="15">
      <c r="A80" s="125"/>
      <c r="B80" s="126"/>
      <c r="C80" s="126"/>
      <c r="D80" s="127"/>
      <c r="E80" s="128"/>
      <c r="F80" s="128"/>
      <c r="G80" s="129"/>
      <c r="H80" s="129"/>
      <c r="I80" s="129"/>
      <c r="J80" s="129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29"/>
    </row>
    <row r="81" spans="1:22" s="8" customFormat="1" ht="15">
      <c r="A81" s="125"/>
      <c r="B81" s="126"/>
      <c r="C81" s="126"/>
      <c r="D81" s="127"/>
      <c r="E81" s="128"/>
      <c r="F81" s="128"/>
      <c r="G81" s="129"/>
      <c r="H81" s="129"/>
      <c r="I81" s="129"/>
      <c r="J81" s="129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29"/>
    </row>
    <row r="82" spans="1:22" ht="50.25" customHeight="1"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2"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2"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2"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2"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2" ht="15">
      <c r="C87" s="138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</row>
    <row r="88" spans="1:22" ht="15">
      <c r="C88" s="138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</row>
    <row r="89" spans="1:22"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2">
      <c r="C90" s="1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2"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2" ht="12" customHeight="1"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2">
      <c r="A93" s="140"/>
      <c r="B93" s="141"/>
      <c r="C93" s="141"/>
      <c r="D93" s="142"/>
      <c r="E93" s="140"/>
      <c r="F93" s="140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</row>
    <row r="94" spans="1:22">
      <c r="A94" s="140"/>
      <c r="B94" s="141"/>
      <c r="C94" s="141"/>
      <c r="D94" s="142"/>
      <c r="E94" s="140"/>
      <c r="F94" s="140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</row>
    <row r="95" spans="1:22">
      <c r="C95" s="141"/>
      <c r="D95" s="142"/>
      <c r="E95" s="140"/>
      <c r="F95" s="140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</row>
    <row r="96" spans="1:22">
      <c r="A96" s="140"/>
      <c r="B96" s="141"/>
      <c r="C96" s="141"/>
      <c r="D96" s="142"/>
      <c r="E96" s="140"/>
      <c r="F96" s="140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</row>
    <row r="97" spans="1:21">
      <c r="A97" s="140"/>
      <c r="B97" s="141"/>
      <c r="C97" s="141"/>
      <c r="D97" s="142"/>
      <c r="E97" s="140"/>
      <c r="F97" s="140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</row>
    <row r="98" spans="1:21">
      <c r="A98" s="140"/>
      <c r="B98" s="141"/>
      <c r="C98" s="141"/>
      <c r="D98" s="142"/>
      <c r="E98" s="140"/>
      <c r="F98" s="140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</row>
    <row r="99" spans="1:21">
      <c r="A99" s="140"/>
      <c r="B99" s="141"/>
      <c r="C99" s="141"/>
      <c r="D99" s="142"/>
      <c r="E99" s="140"/>
      <c r="F99" s="140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</row>
    <row r="100" spans="1:21">
      <c r="A100" s="140"/>
      <c r="B100" s="144"/>
      <c r="C100" s="141"/>
      <c r="D100" s="142"/>
      <c r="E100" s="140"/>
      <c r="F100" s="140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</row>
    <row r="101" spans="1:21">
      <c r="A101" s="140"/>
      <c r="B101" s="141"/>
      <c r="C101" s="141"/>
      <c r="D101" s="142"/>
      <c r="E101" s="140"/>
      <c r="F101" s="140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</row>
    <row r="102" spans="1:21">
      <c r="A102" s="140"/>
      <c r="B102" s="141"/>
      <c r="C102" s="141"/>
      <c r="D102" s="142"/>
      <c r="E102" s="140"/>
      <c r="F102" s="140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</row>
    <row r="103" spans="1:21">
      <c r="A103" s="140"/>
      <c r="B103" s="141"/>
      <c r="C103" s="141"/>
      <c r="D103" s="142"/>
      <c r="E103" s="140"/>
      <c r="F103" s="140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</row>
    <row r="104" spans="1:21">
      <c r="A104" s="140"/>
      <c r="B104" s="141"/>
      <c r="C104" s="141"/>
      <c r="D104" s="142"/>
      <c r="E104" s="140"/>
      <c r="F104" s="140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</row>
    <row r="105" spans="1:21">
      <c r="A105" s="140"/>
      <c r="B105" s="141"/>
      <c r="C105" s="141"/>
      <c r="D105" s="142"/>
      <c r="E105" s="140"/>
      <c r="F105" s="140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</row>
    <row r="106" spans="1:21">
      <c r="A106" s="140"/>
      <c r="B106" s="141"/>
      <c r="C106" s="141"/>
      <c r="D106" s="142"/>
      <c r="E106" s="140"/>
      <c r="F106" s="140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</row>
    <row r="107" spans="1:21">
      <c r="A107" s="140"/>
      <c r="B107" s="141"/>
      <c r="C107" s="141"/>
      <c r="D107" s="142"/>
      <c r="E107" s="140"/>
      <c r="F107" s="140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</row>
    <row r="108" spans="1:21">
      <c r="A108" s="140"/>
      <c r="B108" s="141"/>
      <c r="C108" s="141"/>
      <c r="D108" s="142"/>
      <c r="E108" s="140"/>
      <c r="F108" s="140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</row>
    <row r="109" spans="1:21">
      <c r="A109" s="140"/>
      <c r="B109" s="141"/>
      <c r="C109" s="141"/>
      <c r="D109" s="142"/>
      <c r="E109" s="140"/>
      <c r="F109" s="140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</row>
    <row r="110" spans="1:21">
      <c r="A110" s="140"/>
      <c r="B110" s="141"/>
      <c r="C110" s="141"/>
      <c r="D110" s="142"/>
      <c r="E110" s="140"/>
      <c r="F110" s="140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</row>
    <row r="111" spans="1:21">
      <c r="A111" s="140"/>
      <c r="B111" s="141"/>
      <c r="C111" s="141"/>
      <c r="D111" s="142"/>
      <c r="E111" s="140"/>
      <c r="F111" s="140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</row>
    <row r="112" spans="1:21">
      <c r="A112" s="140"/>
      <c r="B112" s="141"/>
      <c r="C112" s="141"/>
      <c r="D112" s="142"/>
      <c r="E112" s="140"/>
      <c r="F112" s="140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</row>
    <row r="113" spans="1:21">
      <c r="A113" s="140"/>
      <c r="B113" s="141"/>
      <c r="C113" s="141"/>
      <c r="D113" s="142"/>
      <c r="E113" s="140"/>
      <c r="F113" s="140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</row>
    <row r="114" spans="1:21">
      <c r="A114" s="140"/>
      <c r="B114" s="141"/>
      <c r="C114" s="141"/>
      <c r="D114" s="142"/>
      <c r="E114" s="140"/>
      <c r="F114" s="140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</row>
    <row r="115" spans="1:21">
      <c r="A115" s="140"/>
      <c r="B115" s="141"/>
      <c r="C115" s="141"/>
      <c r="D115" s="142"/>
      <c r="E115" s="140"/>
      <c r="F115" s="140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</row>
    <row r="116" spans="1:21">
      <c r="A116" s="140"/>
      <c r="B116" s="141"/>
      <c r="C116" s="141"/>
      <c r="D116" s="142"/>
      <c r="E116" s="140"/>
      <c r="F116" s="140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</row>
    <row r="117" spans="1:21">
      <c r="A117" s="140"/>
      <c r="B117" s="141"/>
      <c r="C117" s="141"/>
      <c r="D117" s="142"/>
      <c r="E117" s="140"/>
      <c r="F117" s="140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</row>
    <row r="118" spans="1:21">
      <c r="G118" s="38"/>
    </row>
    <row r="119" spans="1:21">
      <c r="G119" s="38"/>
    </row>
    <row r="120" spans="1:21">
      <c r="G120" s="38"/>
    </row>
    <row r="121" spans="1:21">
      <c r="G121" s="38"/>
    </row>
    <row r="122" spans="1:21">
      <c r="G122" s="38"/>
    </row>
    <row r="123" spans="1:21">
      <c r="G123" s="38"/>
    </row>
  </sheetData>
  <mergeCells count="22">
    <mergeCell ref="B59:F59"/>
    <mergeCell ref="B60:F60"/>
    <mergeCell ref="B73:F73"/>
    <mergeCell ref="U2:U3"/>
    <mergeCell ref="E4:F4"/>
    <mergeCell ref="B5:F5"/>
    <mergeCell ref="B6:F6"/>
    <mergeCell ref="B7:F7"/>
    <mergeCell ref="B8:F8"/>
    <mergeCell ref="B9:F9"/>
    <mergeCell ref="B26:F26"/>
    <mergeCell ref="B55:F55"/>
    <mergeCell ref="B56:F56"/>
    <mergeCell ref="B57:F57"/>
    <mergeCell ref="O1:S1"/>
    <mergeCell ref="A2:A3"/>
    <mergeCell ref="B2:B3"/>
    <mergeCell ref="C2:C3"/>
    <mergeCell ref="D2:D3"/>
    <mergeCell ref="E2:F2"/>
    <mergeCell ref="G2:G3"/>
    <mergeCell ref="H2:T2"/>
  </mergeCells>
  <pageMargins left="0" right="0" top="7.874015748031496E-2" bottom="0.39370078740157483" header="0.31496062992125984" footer="0.31496062992125984"/>
  <pageSetup paperSize="9" scale="52" orientation="landscape" r:id="rId1"/>
  <headerFoot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T61"/>
  <sheetViews>
    <sheetView view="pageBreakPreview" zoomScale="85" zoomScaleNormal="40" zoomScaleSheetLayoutView="85" workbookViewId="0">
      <pane xSplit="7" ySplit="7" topLeftCell="T8" activePane="bottomRight" state="frozen"/>
      <selection pane="topRight" activeCell="H1" sqref="H1"/>
      <selection pane="bottomLeft" activeCell="A7" sqref="A7"/>
      <selection pane="bottomRight" activeCell="B3" sqref="B3:Z3"/>
    </sheetView>
  </sheetViews>
  <sheetFormatPr defaultRowHeight="14.25"/>
  <cols>
    <col min="1" max="1" width="4.375" style="1" customWidth="1"/>
    <col min="2" max="2" width="9.125" style="1" customWidth="1"/>
    <col min="3" max="3" width="37.5" style="1" customWidth="1"/>
    <col min="4" max="4" width="15.5" style="1" customWidth="1"/>
    <col min="5" max="5" width="13.5" style="1" bestFit="1" customWidth="1"/>
    <col min="6" max="6" width="12.5" style="1" customWidth="1"/>
    <col min="7" max="7" width="13.5" style="1" bestFit="1" customWidth="1"/>
    <col min="8" max="8" width="12.75" style="1" bestFit="1" customWidth="1"/>
    <col min="9" max="9" width="12.375" style="1" bestFit="1" customWidth="1"/>
    <col min="10" max="10" width="12.75" style="1" bestFit="1" customWidth="1"/>
    <col min="11" max="11" width="12" style="1" bestFit="1" customWidth="1"/>
    <col min="12" max="12" width="12.5" style="1" bestFit="1" customWidth="1"/>
    <col min="13" max="13" width="12.375" style="1" bestFit="1" customWidth="1"/>
    <col min="14" max="14" width="12.75" style="1" bestFit="1" customWidth="1"/>
    <col min="15" max="15" width="12.625" style="1" bestFit="1" customWidth="1"/>
    <col min="16" max="16" width="12.375" style="1" bestFit="1" customWidth="1"/>
    <col min="17" max="17" width="12.75" style="1" bestFit="1" customWidth="1"/>
    <col min="18" max="18" width="12.625" style="1" bestFit="1" customWidth="1"/>
    <col min="19" max="19" width="12.375" style="1" bestFit="1" customWidth="1"/>
    <col min="20" max="20" width="12.75" style="1" bestFit="1" customWidth="1"/>
    <col min="21" max="21" width="13.25" style="1" bestFit="1" customWidth="1"/>
    <col min="22" max="22" width="13.5" style="1" bestFit="1" customWidth="1"/>
    <col min="23" max="23" width="12" style="1" bestFit="1" customWidth="1"/>
    <col min="24" max="24" width="12.25" style="1" bestFit="1" customWidth="1"/>
    <col min="25" max="26" width="13.5" style="1" bestFit="1" customWidth="1"/>
    <col min="27" max="27" width="29.875" style="1" customWidth="1"/>
    <col min="28" max="16384" width="9" style="1"/>
  </cols>
  <sheetData>
    <row r="1" spans="1:46" ht="24.75" customHeight="1">
      <c r="A1" s="395"/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</row>
    <row r="2" spans="1:46" ht="51.75" customHeight="1">
      <c r="B2" s="235"/>
      <c r="C2" s="235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396" t="s">
        <v>436</v>
      </c>
      <c r="U2" s="396"/>
      <c r="V2" s="396"/>
      <c r="W2" s="396"/>
      <c r="X2" s="396"/>
      <c r="Y2" s="396"/>
    </row>
    <row r="3" spans="1:46" ht="51.75" customHeight="1">
      <c r="A3" s="236"/>
      <c r="B3" s="397" t="s">
        <v>437</v>
      </c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</row>
    <row r="4" spans="1:46" ht="21" thickBot="1">
      <c r="A4" s="237"/>
      <c r="B4" s="235"/>
      <c r="C4" s="238"/>
      <c r="D4" s="239"/>
      <c r="E4" s="239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398"/>
      <c r="W4" s="399"/>
      <c r="X4" s="399"/>
      <c r="Y4" s="399"/>
      <c r="Z4" s="399"/>
    </row>
    <row r="5" spans="1:46">
      <c r="A5" s="240"/>
      <c r="B5" s="241"/>
      <c r="C5" s="241">
        <v>1</v>
      </c>
      <c r="D5" s="242">
        <v>2</v>
      </c>
      <c r="E5" s="400">
        <v>3</v>
      </c>
      <c r="F5" s="401"/>
      <c r="G5" s="402"/>
      <c r="H5" s="403">
        <v>4</v>
      </c>
      <c r="I5" s="403"/>
      <c r="J5" s="403"/>
      <c r="K5" s="404">
        <v>5</v>
      </c>
      <c r="L5" s="403"/>
      <c r="M5" s="405"/>
      <c r="N5" s="403">
        <v>6</v>
      </c>
      <c r="O5" s="403"/>
      <c r="P5" s="403"/>
      <c r="Q5" s="404">
        <v>7</v>
      </c>
      <c r="R5" s="403"/>
      <c r="S5" s="405"/>
      <c r="T5" s="400">
        <v>8</v>
      </c>
      <c r="U5" s="401"/>
      <c r="V5" s="402"/>
      <c r="W5" s="404">
        <v>9</v>
      </c>
      <c r="X5" s="403"/>
      <c r="Y5" s="405"/>
      <c r="Z5" s="243">
        <v>10</v>
      </c>
      <c r="AA5" s="244">
        <v>14</v>
      </c>
    </row>
    <row r="6" spans="1:46" ht="28.5" customHeight="1">
      <c r="A6" s="406" t="s">
        <v>0</v>
      </c>
      <c r="B6" s="424" t="s">
        <v>438</v>
      </c>
      <c r="C6" s="426" t="s">
        <v>184</v>
      </c>
      <c r="D6" s="428" t="s">
        <v>439</v>
      </c>
      <c r="E6" s="418" t="s">
        <v>440</v>
      </c>
      <c r="F6" s="419"/>
      <c r="G6" s="420"/>
      <c r="H6" s="415">
        <v>2013</v>
      </c>
      <c r="I6" s="416"/>
      <c r="J6" s="417"/>
      <c r="K6" s="418">
        <v>2014</v>
      </c>
      <c r="L6" s="419"/>
      <c r="M6" s="420"/>
      <c r="N6" s="421">
        <v>2015</v>
      </c>
      <c r="O6" s="419"/>
      <c r="P6" s="422"/>
      <c r="Q6" s="418" t="s">
        <v>441</v>
      </c>
      <c r="R6" s="419"/>
      <c r="S6" s="420"/>
      <c r="T6" s="418" t="s">
        <v>442</v>
      </c>
      <c r="U6" s="419"/>
      <c r="V6" s="420"/>
      <c r="W6" s="406" t="s">
        <v>443</v>
      </c>
      <c r="X6" s="430"/>
      <c r="Y6" s="431"/>
      <c r="Z6" s="432" t="s">
        <v>444</v>
      </c>
      <c r="AA6" s="393"/>
    </row>
    <row r="7" spans="1:46" ht="57.75" thickBot="1">
      <c r="A7" s="423"/>
      <c r="B7" s="425"/>
      <c r="C7" s="427"/>
      <c r="D7" s="429"/>
      <c r="E7" s="245" t="s">
        <v>445</v>
      </c>
      <c r="F7" s="246" t="s">
        <v>446</v>
      </c>
      <c r="G7" s="247" t="s">
        <v>447</v>
      </c>
      <c r="H7" s="245" t="s">
        <v>445</v>
      </c>
      <c r="I7" s="246" t="s">
        <v>446</v>
      </c>
      <c r="J7" s="248" t="s">
        <v>447</v>
      </c>
      <c r="K7" s="245" t="s">
        <v>445</v>
      </c>
      <c r="L7" s="246" t="s">
        <v>446</v>
      </c>
      <c r="M7" s="247" t="s">
        <v>447</v>
      </c>
      <c r="N7" s="245" t="s">
        <v>445</v>
      </c>
      <c r="O7" s="246" t="s">
        <v>446</v>
      </c>
      <c r="P7" s="248" t="s">
        <v>447</v>
      </c>
      <c r="Q7" s="245" t="s">
        <v>445</v>
      </c>
      <c r="R7" s="246" t="s">
        <v>446</v>
      </c>
      <c r="S7" s="248" t="s">
        <v>447</v>
      </c>
      <c r="T7" s="249" t="s">
        <v>445</v>
      </c>
      <c r="U7" s="250" t="s">
        <v>446</v>
      </c>
      <c r="V7" s="251" t="s">
        <v>447</v>
      </c>
      <c r="W7" s="249" t="s">
        <v>448</v>
      </c>
      <c r="X7" s="250" t="s">
        <v>446</v>
      </c>
      <c r="Y7" s="251" t="s">
        <v>449</v>
      </c>
      <c r="Z7" s="433"/>
      <c r="AA7" s="394"/>
    </row>
    <row r="8" spans="1:46" ht="30" customHeight="1">
      <c r="A8" s="406">
        <v>1</v>
      </c>
      <c r="B8" s="407" t="s">
        <v>450</v>
      </c>
      <c r="C8" s="410" t="s">
        <v>307</v>
      </c>
      <c r="D8" s="252" t="s">
        <v>451</v>
      </c>
      <c r="E8" s="253">
        <v>30000000</v>
      </c>
      <c r="F8" s="254">
        <v>10412599</v>
      </c>
      <c r="G8" s="255">
        <f>E8+F8</f>
        <v>40412599</v>
      </c>
      <c r="H8" s="256">
        <v>7000000</v>
      </c>
      <c r="I8" s="254">
        <v>-133478</v>
      </c>
      <c r="J8" s="255">
        <f>H8+I8</f>
        <v>6866522</v>
      </c>
      <c r="K8" s="256">
        <v>13000000</v>
      </c>
      <c r="L8" s="254">
        <v>-983587</v>
      </c>
      <c r="M8" s="255">
        <f>K8+L8</f>
        <v>12016413</v>
      </c>
      <c r="N8" s="256">
        <v>10000000</v>
      </c>
      <c r="O8" s="254">
        <v>11529664</v>
      </c>
      <c r="P8" s="255">
        <f>N8+O8</f>
        <v>21529664</v>
      </c>
      <c r="Q8" s="256"/>
      <c r="R8" s="254"/>
      <c r="S8" s="255"/>
      <c r="T8" s="257">
        <f>SUM(H8,K8,N8,Q8)</f>
        <v>30000000</v>
      </c>
      <c r="U8" s="258">
        <f>SUM(I8,L8,O8,R8)</f>
        <v>10412599</v>
      </c>
      <c r="V8" s="255">
        <f>SUM(J8,M8,P8,S8)</f>
        <v>40412599</v>
      </c>
      <c r="W8" s="257">
        <v>0</v>
      </c>
      <c r="X8" s="258">
        <v>0</v>
      </c>
      <c r="Y8" s="255">
        <f t="shared" ref="Y8:Y10" si="0">W8+X8</f>
        <v>0</v>
      </c>
      <c r="Z8" s="259">
        <f t="shared" ref="Z8:Z46" si="1">SUM(V8,Y8)</f>
        <v>40412599</v>
      </c>
      <c r="AA8" s="412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</row>
    <row r="9" spans="1:46" ht="30" customHeight="1">
      <c r="A9" s="406"/>
      <c r="B9" s="408"/>
      <c r="C9" s="410"/>
      <c r="D9" s="252" t="s">
        <v>452</v>
      </c>
      <c r="E9" s="253">
        <v>69000000</v>
      </c>
      <c r="F9" s="260">
        <v>-14463992</v>
      </c>
      <c r="G9" s="255">
        <f t="shared" ref="G9:G10" si="2">E9+F9</f>
        <v>54536008</v>
      </c>
      <c r="H9" s="256">
        <v>13180000</v>
      </c>
      <c r="I9" s="260">
        <v>-1996875</v>
      </c>
      <c r="J9" s="255">
        <f t="shared" ref="J9:J10" si="3">H9+I9</f>
        <v>11183125</v>
      </c>
      <c r="K9" s="256">
        <v>19770000</v>
      </c>
      <c r="L9" s="260">
        <v>-1504440</v>
      </c>
      <c r="M9" s="255">
        <f t="shared" ref="M9:M10" si="4">K9+L9</f>
        <v>18265560</v>
      </c>
      <c r="N9" s="256">
        <v>32950000</v>
      </c>
      <c r="O9" s="260">
        <v>-10601606</v>
      </c>
      <c r="P9" s="255">
        <f t="shared" ref="P9:P10" si="5">N9+O9</f>
        <v>22348394</v>
      </c>
      <c r="Q9" s="256"/>
      <c r="R9" s="260"/>
      <c r="S9" s="255"/>
      <c r="T9" s="257">
        <f>SUM(H9,K9,N9,Q9)</f>
        <v>65900000</v>
      </c>
      <c r="U9" s="261">
        <f>SUM(I9,L9,O9,R9,)</f>
        <v>-14102921</v>
      </c>
      <c r="V9" s="255">
        <f>SUM(J9,M9,P9,S9)</f>
        <v>51797079</v>
      </c>
      <c r="W9" s="257">
        <v>3100000</v>
      </c>
      <c r="X9" s="261">
        <v>-361071</v>
      </c>
      <c r="Y9" s="255">
        <f t="shared" si="0"/>
        <v>2738929</v>
      </c>
      <c r="Z9" s="259">
        <f t="shared" si="1"/>
        <v>54536008</v>
      </c>
      <c r="AA9" s="413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</row>
    <row r="10" spans="1:46" s="269" customFormat="1" ht="30" customHeight="1">
      <c r="A10" s="406"/>
      <c r="B10" s="408"/>
      <c r="C10" s="410"/>
      <c r="D10" s="262" t="s">
        <v>453</v>
      </c>
      <c r="E10" s="263">
        <v>0</v>
      </c>
      <c r="F10" s="264">
        <v>7131635</v>
      </c>
      <c r="G10" s="265">
        <f t="shared" si="2"/>
        <v>7131635</v>
      </c>
      <c r="H10" s="266">
        <v>0</v>
      </c>
      <c r="I10" s="264">
        <v>1211739</v>
      </c>
      <c r="J10" s="255">
        <f t="shared" si="3"/>
        <v>1211739</v>
      </c>
      <c r="K10" s="266">
        <v>0</v>
      </c>
      <c r="L10" s="264">
        <v>2120544</v>
      </c>
      <c r="M10" s="255">
        <f t="shared" si="4"/>
        <v>2120544</v>
      </c>
      <c r="N10" s="266">
        <v>0</v>
      </c>
      <c r="O10" s="264">
        <v>3799352</v>
      </c>
      <c r="P10" s="255">
        <f t="shared" si="5"/>
        <v>3799352</v>
      </c>
      <c r="Q10" s="266"/>
      <c r="R10" s="264"/>
      <c r="S10" s="255"/>
      <c r="T10" s="257">
        <f>SUM(H10,K10,N10,Q10)</f>
        <v>0</v>
      </c>
      <c r="U10" s="258">
        <f>SUM(I10,L10,O10,R10)</f>
        <v>7131635</v>
      </c>
      <c r="V10" s="255">
        <f>SUM(J10,M10,P10,S10)</f>
        <v>7131635</v>
      </c>
      <c r="W10" s="257">
        <v>0</v>
      </c>
      <c r="X10" s="267">
        <v>0</v>
      </c>
      <c r="Y10" s="255">
        <f t="shared" si="0"/>
        <v>0</v>
      </c>
      <c r="Z10" s="259">
        <f t="shared" si="1"/>
        <v>7131635</v>
      </c>
      <c r="AA10" s="413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</row>
    <row r="11" spans="1:46" ht="30" customHeight="1">
      <c r="A11" s="406"/>
      <c r="B11" s="409"/>
      <c r="C11" s="411"/>
      <c r="D11" s="270" t="s">
        <v>454</v>
      </c>
      <c r="E11" s="271">
        <f>SUM(E8:E10)</f>
        <v>99000000</v>
      </c>
      <c r="F11" s="272">
        <f t="shared" ref="F11:Y11" si="6">SUM(F8:F10)</f>
        <v>3080242</v>
      </c>
      <c r="G11" s="273">
        <f t="shared" si="6"/>
        <v>102080242</v>
      </c>
      <c r="H11" s="271">
        <f t="shared" si="6"/>
        <v>20180000</v>
      </c>
      <c r="I11" s="272">
        <f t="shared" si="6"/>
        <v>-918614</v>
      </c>
      <c r="J11" s="273">
        <f t="shared" si="6"/>
        <v>19261386</v>
      </c>
      <c r="K11" s="271">
        <f t="shared" si="6"/>
        <v>32770000</v>
      </c>
      <c r="L11" s="272">
        <f t="shared" si="6"/>
        <v>-367483</v>
      </c>
      <c r="M11" s="273">
        <f t="shared" si="6"/>
        <v>32402517</v>
      </c>
      <c r="N11" s="271">
        <f t="shared" si="6"/>
        <v>42950000</v>
      </c>
      <c r="O11" s="272">
        <f t="shared" si="6"/>
        <v>4727410</v>
      </c>
      <c r="P11" s="273">
        <f t="shared" si="6"/>
        <v>47677410</v>
      </c>
      <c r="Q11" s="271"/>
      <c r="R11" s="272"/>
      <c r="S11" s="273"/>
      <c r="T11" s="271">
        <f t="shared" si="6"/>
        <v>95900000</v>
      </c>
      <c r="U11" s="272">
        <f t="shared" si="6"/>
        <v>3441313</v>
      </c>
      <c r="V11" s="273">
        <f t="shared" si="6"/>
        <v>99341313</v>
      </c>
      <c r="W11" s="271">
        <f t="shared" si="6"/>
        <v>3100000</v>
      </c>
      <c r="X11" s="272">
        <f t="shared" si="6"/>
        <v>-361071</v>
      </c>
      <c r="Y11" s="273">
        <f t="shared" si="6"/>
        <v>2738929</v>
      </c>
      <c r="Z11" s="274">
        <f t="shared" si="1"/>
        <v>102080242</v>
      </c>
      <c r="AA11" s="414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</row>
    <row r="12" spans="1:46" ht="30" hidden="1" customHeight="1">
      <c r="A12" s="406"/>
      <c r="B12" s="407"/>
      <c r="C12" s="410"/>
      <c r="D12" s="275"/>
      <c r="E12" s="276"/>
      <c r="F12" s="260"/>
      <c r="G12" s="255"/>
      <c r="H12" s="256"/>
      <c r="I12" s="260"/>
      <c r="J12" s="255"/>
      <c r="K12" s="256"/>
      <c r="L12" s="260"/>
      <c r="M12" s="255"/>
      <c r="N12" s="256"/>
      <c r="O12" s="260"/>
      <c r="P12" s="255"/>
      <c r="Q12" s="256"/>
      <c r="R12" s="260"/>
      <c r="S12" s="255"/>
      <c r="T12" s="257"/>
      <c r="U12" s="261"/>
      <c r="V12" s="255"/>
      <c r="W12" s="257"/>
      <c r="X12" s="261"/>
      <c r="Y12" s="255"/>
      <c r="Z12" s="259"/>
      <c r="AA12" s="412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</row>
    <row r="13" spans="1:46" ht="30" hidden="1" customHeight="1">
      <c r="A13" s="406"/>
      <c r="B13" s="409"/>
      <c r="C13" s="411"/>
      <c r="D13" s="270"/>
      <c r="E13" s="271"/>
      <c r="F13" s="272"/>
      <c r="G13" s="273"/>
      <c r="H13" s="271"/>
      <c r="I13" s="272"/>
      <c r="J13" s="273"/>
      <c r="K13" s="271"/>
      <c r="L13" s="272"/>
      <c r="M13" s="273"/>
      <c r="N13" s="271"/>
      <c r="O13" s="272"/>
      <c r="P13" s="273"/>
      <c r="Q13" s="271"/>
      <c r="R13" s="272"/>
      <c r="S13" s="273"/>
      <c r="T13" s="271"/>
      <c r="U13" s="272"/>
      <c r="V13" s="273"/>
      <c r="W13" s="271"/>
      <c r="X13" s="272"/>
      <c r="Y13" s="273"/>
      <c r="Z13" s="274"/>
      <c r="AA13" s="414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</row>
    <row r="14" spans="1:46" ht="30" hidden="1" customHeight="1">
      <c r="A14" s="406"/>
      <c r="B14" s="407"/>
      <c r="C14" s="410"/>
      <c r="D14" s="275"/>
      <c r="E14" s="276"/>
      <c r="F14" s="260"/>
      <c r="G14" s="255"/>
      <c r="H14" s="256"/>
      <c r="I14" s="260"/>
      <c r="J14" s="255"/>
      <c r="K14" s="256"/>
      <c r="L14" s="260"/>
      <c r="M14" s="255"/>
      <c r="N14" s="256"/>
      <c r="O14" s="260"/>
      <c r="P14" s="255"/>
      <c r="Q14" s="256"/>
      <c r="R14" s="260"/>
      <c r="S14" s="255"/>
      <c r="T14" s="257"/>
      <c r="U14" s="261"/>
      <c r="V14" s="255"/>
      <c r="W14" s="257"/>
      <c r="X14" s="261"/>
      <c r="Y14" s="255"/>
      <c r="Z14" s="259"/>
      <c r="AA14" s="412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</row>
    <row r="15" spans="1:46" ht="30" hidden="1" customHeight="1">
      <c r="A15" s="406"/>
      <c r="B15" s="409"/>
      <c r="C15" s="411"/>
      <c r="D15" s="270"/>
      <c r="E15" s="271"/>
      <c r="F15" s="272"/>
      <c r="G15" s="273"/>
      <c r="H15" s="271"/>
      <c r="I15" s="272"/>
      <c r="J15" s="273"/>
      <c r="K15" s="271"/>
      <c r="L15" s="272"/>
      <c r="M15" s="273"/>
      <c r="N15" s="271"/>
      <c r="O15" s="272"/>
      <c r="P15" s="273"/>
      <c r="Q15" s="271"/>
      <c r="R15" s="272"/>
      <c r="S15" s="273"/>
      <c r="T15" s="271"/>
      <c r="U15" s="272"/>
      <c r="V15" s="273"/>
      <c r="W15" s="271"/>
      <c r="X15" s="272"/>
      <c r="Y15" s="273"/>
      <c r="Z15" s="274"/>
      <c r="AA15" s="414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</row>
    <row r="16" spans="1:46" ht="30" hidden="1" customHeight="1">
      <c r="A16" s="406"/>
      <c r="B16" s="408"/>
      <c r="C16" s="410"/>
      <c r="D16" s="252"/>
      <c r="E16" s="253"/>
      <c r="F16" s="277"/>
      <c r="G16" s="255"/>
      <c r="H16" s="256"/>
      <c r="I16" s="278"/>
      <c r="J16" s="255"/>
      <c r="K16" s="256"/>
      <c r="L16" s="278"/>
      <c r="M16" s="255"/>
      <c r="N16" s="256"/>
      <c r="O16" s="278"/>
      <c r="P16" s="255"/>
      <c r="Q16" s="256"/>
      <c r="R16" s="278"/>
      <c r="S16" s="255"/>
      <c r="T16" s="257"/>
      <c r="U16" s="261"/>
      <c r="V16" s="255"/>
      <c r="W16" s="257"/>
      <c r="X16" s="279"/>
      <c r="Y16" s="255"/>
      <c r="Z16" s="259"/>
      <c r="AA16" s="413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</row>
    <row r="17" spans="1:46" ht="30" hidden="1" customHeight="1">
      <c r="A17" s="406"/>
      <c r="B17" s="409"/>
      <c r="C17" s="411"/>
      <c r="D17" s="270"/>
      <c r="E17" s="271"/>
      <c r="F17" s="272"/>
      <c r="G17" s="273"/>
      <c r="H17" s="271"/>
      <c r="I17" s="272"/>
      <c r="J17" s="273"/>
      <c r="K17" s="271"/>
      <c r="L17" s="272"/>
      <c r="M17" s="273"/>
      <c r="N17" s="271"/>
      <c r="O17" s="272"/>
      <c r="P17" s="273"/>
      <c r="Q17" s="271"/>
      <c r="R17" s="272"/>
      <c r="S17" s="273"/>
      <c r="T17" s="271"/>
      <c r="U17" s="272"/>
      <c r="V17" s="273"/>
      <c r="W17" s="271"/>
      <c r="X17" s="272"/>
      <c r="Y17" s="273"/>
      <c r="Z17" s="274"/>
      <c r="AA17" s="414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</row>
    <row r="18" spans="1:46" ht="30" hidden="1" customHeight="1">
      <c r="A18" s="434"/>
      <c r="B18" s="435"/>
      <c r="C18" s="438"/>
      <c r="D18" s="280"/>
      <c r="E18" s="281"/>
      <c r="F18" s="282"/>
      <c r="G18" s="283"/>
      <c r="H18" s="284"/>
      <c r="I18" s="282"/>
      <c r="J18" s="283"/>
      <c r="K18" s="284"/>
      <c r="L18" s="282"/>
      <c r="M18" s="283"/>
      <c r="N18" s="284"/>
      <c r="O18" s="282"/>
      <c r="P18" s="283"/>
      <c r="Q18" s="284"/>
      <c r="R18" s="282"/>
      <c r="S18" s="283"/>
      <c r="T18" s="285"/>
      <c r="U18" s="286"/>
      <c r="V18" s="283"/>
      <c r="W18" s="285"/>
      <c r="X18" s="286"/>
      <c r="Y18" s="283"/>
      <c r="Z18" s="287"/>
      <c r="AA18" s="412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</row>
    <row r="19" spans="1:46" ht="30" hidden="1" customHeight="1">
      <c r="A19" s="434"/>
      <c r="B19" s="436"/>
      <c r="C19" s="438"/>
      <c r="D19" s="280"/>
      <c r="E19" s="281"/>
      <c r="F19" s="288"/>
      <c r="G19" s="283"/>
      <c r="H19" s="284"/>
      <c r="I19" s="288"/>
      <c r="J19" s="283"/>
      <c r="K19" s="284"/>
      <c r="L19" s="288"/>
      <c r="M19" s="283"/>
      <c r="N19" s="284"/>
      <c r="O19" s="288"/>
      <c r="P19" s="283"/>
      <c r="Q19" s="284"/>
      <c r="R19" s="288"/>
      <c r="S19" s="283"/>
      <c r="T19" s="285"/>
      <c r="U19" s="289"/>
      <c r="V19" s="283"/>
      <c r="W19" s="285"/>
      <c r="X19" s="289"/>
      <c r="Y19" s="283"/>
      <c r="Z19" s="287"/>
      <c r="AA19" s="413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</row>
    <row r="20" spans="1:46" s="269" customFormat="1" ht="30" hidden="1" customHeight="1">
      <c r="A20" s="434"/>
      <c r="B20" s="436"/>
      <c r="C20" s="438"/>
      <c r="D20" s="290"/>
      <c r="E20" s="281"/>
      <c r="F20" s="291"/>
      <c r="G20" s="292"/>
      <c r="H20" s="284"/>
      <c r="I20" s="291"/>
      <c r="J20" s="283"/>
      <c r="K20" s="284"/>
      <c r="L20" s="291"/>
      <c r="M20" s="283"/>
      <c r="N20" s="284"/>
      <c r="O20" s="291"/>
      <c r="P20" s="283"/>
      <c r="Q20" s="284"/>
      <c r="R20" s="291"/>
      <c r="S20" s="283"/>
      <c r="T20" s="285"/>
      <c r="U20" s="286"/>
      <c r="V20" s="283"/>
      <c r="W20" s="285"/>
      <c r="X20" s="293"/>
      <c r="Y20" s="283"/>
      <c r="Z20" s="287"/>
      <c r="AA20" s="413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</row>
    <row r="21" spans="1:46" ht="30" hidden="1" customHeight="1">
      <c r="A21" s="434"/>
      <c r="B21" s="437"/>
      <c r="C21" s="439"/>
      <c r="D21" s="294"/>
      <c r="E21" s="295"/>
      <c r="F21" s="296"/>
      <c r="G21" s="297"/>
      <c r="H21" s="295"/>
      <c r="I21" s="296"/>
      <c r="J21" s="297"/>
      <c r="K21" s="295"/>
      <c r="L21" s="296"/>
      <c r="M21" s="297"/>
      <c r="N21" s="295"/>
      <c r="O21" s="296"/>
      <c r="P21" s="297"/>
      <c r="Q21" s="295"/>
      <c r="R21" s="296"/>
      <c r="S21" s="297"/>
      <c r="T21" s="295"/>
      <c r="U21" s="296"/>
      <c r="V21" s="297"/>
      <c r="W21" s="295"/>
      <c r="X21" s="296"/>
      <c r="Y21" s="297"/>
      <c r="Z21" s="298"/>
      <c r="AA21" s="414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</row>
    <row r="22" spans="1:46" ht="30" customHeight="1">
      <c r="A22" s="440">
        <v>2</v>
      </c>
      <c r="B22" s="435" t="s">
        <v>455</v>
      </c>
      <c r="C22" s="443" t="s">
        <v>294</v>
      </c>
      <c r="D22" s="299" t="s">
        <v>451</v>
      </c>
      <c r="E22" s="300">
        <v>182585754</v>
      </c>
      <c r="F22" s="301">
        <v>0</v>
      </c>
      <c r="G22" s="283">
        <f>E22+F22</f>
        <v>182585754</v>
      </c>
      <c r="H22" s="300">
        <v>88487021</v>
      </c>
      <c r="I22" s="301">
        <v>780998</v>
      </c>
      <c r="J22" s="283">
        <f t="shared" ref="J22:J23" si="7">H22+I22</f>
        <v>89268019</v>
      </c>
      <c r="K22" s="300">
        <v>75232548</v>
      </c>
      <c r="L22" s="301">
        <v>0</v>
      </c>
      <c r="M22" s="283">
        <f t="shared" ref="M22:M23" si="8">K22+L22</f>
        <v>75232548</v>
      </c>
      <c r="N22" s="300"/>
      <c r="O22" s="301"/>
      <c r="P22" s="302"/>
      <c r="Q22" s="300"/>
      <c r="R22" s="301"/>
      <c r="S22" s="302"/>
      <c r="T22" s="285">
        <f>SUM(H22,K22,N22,Q22)</f>
        <v>163719569</v>
      </c>
      <c r="U22" s="286">
        <f>SUM(I22,L22,O22,R22)</f>
        <v>780998</v>
      </c>
      <c r="V22" s="283">
        <f>SUM(J22,M22,P22,S22)</f>
        <v>164500567</v>
      </c>
      <c r="W22" s="285">
        <v>18866185</v>
      </c>
      <c r="X22" s="293">
        <v>-780998</v>
      </c>
      <c r="Y22" s="283">
        <f t="shared" ref="Y22:Y23" si="9">W22+X22</f>
        <v>18085187</v>
      </c>
      <c r="Z22" s="287">
        <f t="shared" si="1"/>
        <v>182585754</v>
      </c>
      <c r="AA22" s="303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</row>
    <row r="23" spans="1:46" ht="30" customHeight="1">
      <c r="A23" s="441"/>
      <c r="B23" s="436"/>
      <c r="C23" s="444"/>
      <c r="D23" s="299" t="s">
        <v>452</v>
      </c>
      <c r="E23" s="276">
        <v>54215244</v>
      </c>
      <c r="F23" s="288">
        <v>0</v>
      </c>
      <c r="G23" s="283">
        <f>E23+F23</f>
        <v>54215244</v>
      </c>
      <c r="H23" s="284">
        <v>25812979</v>
      </c>
      <c r="I23" s="288">
        <v>1985773</v>
      </c>
      <c r="J23" s="283">
        <f t="shared" si="7"/>
        <v>27798752</v>
      </c>
      <c r="K23" s="284">
        <v>21096243</v>
      </c>
      <c r="L23" s="288">
        <v>0</v>
      </c>
      <c r="M23" s="283">
        <f t="shared" si="8"/>
        <v>21096243</v>
      </c>
      <c r="N23" s="284"/>
      <c r="O23" s="288"/>
      <c r="P23" s="283">
        <f t="shared" ref="P23" si="10">N23+O23</f>
        <v>0</v>
      </c>
      <c r="Q23" s="284"/>
      <c r="R23" s="288"/>
      <c r="S23" s="283"/>
      <c r="T23" s="285">
        <f>SUM(H23,K23,N23,Q23)</f>
        <v>46909222</v>
      </c>
      <c r="U23" s="289">
        <f>SUM(I23,L23,O23,R23,)</f>
        <v>1985773</v>
      </c>
      <c r="V23" s="283">
        <f>SUM(J23,M23,P23,S23)</f>
        <v>48894995</v>
      </c>
      <c r="W23" s="285">
        <v>7306022</v>
      </c>
      <c r="X23" s="289">
        <v>-1985773</v>
      </c>
      <c r="Y23" s="283">
        <f t="shared" si="9"/>
        <v>5320249</v>
      </c>
      <c r="Z23" s="287">
        <f t="shared" si="1"/>
        <v>54215244</v>
      </c>
      <c r="AA23" s="412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</row>
    <row r="24" spans="1:46" ht="30" customHeight="1">
      <c r="A24" s="442"/>
      <c r="B24" s="437"/>
      <c r="C24" s="445"/>
      <c r="D24" s="294" t="s">
        <v>454</v>
      </c>
      <c r="E24" s="295">
        <f t="shared" ref="E24:M24" si="11">SUM(E22:E23)</f>
        <v>236800998</v>
      </c>
      <c r="F24" s="296">
        <f t="shared" si="11"/>
        <v>0</v>
      </c>
      <c r="G24" s="297">
        <f t="shared" si="11"/>
        <v>236800998</v>
      </c>
      <c r="H24" s="295">
        <f t="shared" si="11"/>
        <v>114300000</v>
      </c>
      <c r="I24" s="296">
        <f t="shared" si="11"/>
        <v>2766771</v>
      </c>
      <c r="J24" s="297">
        <f t="shared" si="11"/>
        <v>117066771</v>
      </c>
      <c r="K24" s="295">
        <f t="shared" si="11"/>
        <v>96328791</v>
      </c>
      <c r="L24" s="296">
        <f t="shared" si="11"/>
        <v>0</v>
      </c>
      <c r="M24" s="297">
        <f t="shared" si="11"/>
        <v>96328791</v>
      </c>
      <c r="N24" s="295">
        <f t="shared" ref="N24:P24" si="12">SUM(N23:N23)</f>
        <v>0</v>
      </c>
      <c r="O24" s="296">
        <f t="shared" si="12"/>
        <v>0</v>
      </c>
      <c r="P24" s="297">
        <f t="shared" si="12"/>
        <v>0</v>
      </c>
      <c r="Q24" s="295"/>
      <c r="R24" s="304"/>
      <c r="S24" s="297"/>
      <c r="T24" s="295">
        <f t="shared" ref="T24:Y24" si="13">SUM(T22:T23)</f>
        <v>210628791</v>
      </c>
      <c r="U24" s="296">
        <f t="shared" si="13"/>
        <v>2766771</v>
      </c>
      <c r="V24" s="297">
        <f t="shared" si="13"/>
        <v>213395562</v>
      </c>
      <c r="W24" s="295">
        <f t="shared" si="13"/>
        <v>26172207</v>
      </c>
      <c r="X24" s="296">
        <f t="shared" si="13"/>
        <v>-2766771</v>
      </c>
      <c r="Y24" s="297">
        <f t="shared" si="13"/>
        <v>23405436</v>
      </c>
      <c r="Z24" s="298">
        <f t="shared" si="1"/>
        <v>236800998</v>
      </c>
      <c r="AA24" s="414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</row>
    <row r="25" spans="1:46" ht="30" hidden="1" customHeight="1">
      <c r="A25" s="434"/>
      <c r="B25" s="435"/>
      <c r="C25" s="438"/>
      <c r="D25" s="305"/>
      <c r="E25" s="276"/>
      <c r="F25" s="288"/>
      <c r="G25" s="283"/>
      <c r="H25" s="284"/>
      <c r="I25" s="288"/>
      <c r="J25" s="283"/>
      <c r="K25" s="284"/>
      <c r="L25" s="288"/>
      <c r="M25" s="283"/>
      <c r="N25" s="284"/>
      <c r="O25" s="288"/>
      <c r="P25" s="283"/>
      <c r="Q25" s="284"/>
      <c r="R25" s="288"/>
      <c r="S25" s="283"/>
      <c r="T25" s="285"/>
      <c r="U25" s="289"/>
      <c r="V25" s="283"/>
      <c r="W25" s="285"/>
      <c r="X25" s="289"/>
      <c r="Y25" s="283"/>
      <c r="Z25" s="287"/>
      <c r="AA25" s="412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</row>
    <row r="26" spans="1:46" ht="30" hidden="1" customHeight="1">
      <c r="A26" s="434"/>
      <c r="B26" s="437"/>
      <c r="C26" s="439"/>
      <c r="D26" s="294"/>
      <c r="E26" s="295"/>
      <c r="F26" s="296"/>
      <c r="G26" s="297"/>
      <c r="H26" s="295"/>
      <c r="I26" s="296"/>
      <c r="J26" s="297"/>
      <c r="K26" s="295"/>
      <c r="L26" s="296"/>
      <c r="M26" s="297"/>
      <c r="N26" s="295"/>
      <c r="O26" s="296"/>
      <c r="P26" s="297"/>
      <c r="Q26" s="295"/>
      <c r="R26" s="296"/>
      <c r="S26" s="297"/>
      <c r="T26" s="295"/>
      <c r="U26" s="296"/>
      <c r="V26" s="297"/>
      <c r="W26" s="295"/>
      <c r="X26" s="296"/>
      <c r="Y26" s="297"/>
      <c r="Z26" s="298"/>
      <c r="AA26" s="414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</row>
    <row r="27" spans="1:46" ht="30" hidden="1" customHeight="1">
      <c r="A27" s="434"/>
      <c r="B27" s="436"/>
      <c r="C27" s="438"/>
      <c r="D27" s="305"/>
      <c r="E27" s="276"/>
      <c r="F27" s="306"/>
      <c r="G27" s="283"/>
      <c r="H27" s="284"/>
      <c r="I27" s="306"/>
      <c r="J27" s="283"/>
      <c r="K27" s="284"/>
      <c r="L27" s="306"/>
      <c r="M27" s="283"/>
      <c r="N27" s="284"/>
      <c r="O27" s="306"/>
      <c r="P27" s="283"/>
      <c r="Q27" s="284"/>
      <c r="R27" s="306"/>
      <c r="S27" s="283"/>
      <c r="T27" s="285"/>
      <c r="U27" s="307"/>
      <c r="V27" s="283"/>
      <c r="W27" s="285"/>
      <c r="X27" s="293"/>
      <c r="Y27" s="283"/>
      <c r="Z27" s="287"/>
      <c r="AA27" s="413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</row>
    <row r="28" spans="1:46" ht="30" hidden="1" customHeight="1">
      <c r="A28" s="434"/>
      <c r="B28" s="437"/>
      <c r="C28" s="439"/>
      <c r="D28" s="294"/>
      <c r="E28" s="295"/>
      <c r="F28" s="296"/>
      <c r="G28" s="297"/>
      <c r="H28" s="295"/>
      <c r="I28" s="296"/>
      <c r="J28" s="297"/>
      <c r="K28" s="295"/>
      <c r="L28" s="296"/>
      <c r="M28" s="297"/>
      <c r="N28" s="295"/>
      <c r="O28" s="296"/>
      <c r="P28" s="297"/>
      <c r="Q28" s="295"/>
      <c r="R28" s="296"/>
      <c r="S28" s="297"/>
      <c r="T28" s="295"/>
      <c r="U28" s="296"/>
      <c r="V28" s="297"/>
      <c r="W28" s="295"/>
      <c r="X28" s="296"/>
      <c r="Y28" s="297"/>
      <c r="Z28" s="298"/>
      <c r="AA28" s="414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</row>
    <row r="29" spans="1:46" ht="30" hidden="1" customHeight="1">
      <c r="A29" s="434"/>
      <c r="B29" s="436"/>
      <c r="C29" s="438"/>
      <c r="D29" s="305"/>
      <c r="E29" s="281"/>
      <c r="F29" s="308"/>
      <c r="G29" s="283"/>
      <c r="H29" s="284"/>
      <c r="I29" s="309"/>
      <c r="J29" s="283"/>
      <c r="K29" s="284"/>
      <c r="L29" s="309"/>
      <c r="M29" s="283"/>
      <c r="N29" s="284"/>
      <c r="O29" s="309"/>
      <c r="P29" s="283"/>
      <c r="Q29" s="284"/>
      <c r="R29" s="309"/>
      <c r="S29" s="283"/>
      <c r="T29" s="285"/>
      <c r="U29" s="289"/>
      <c r="V29" s="283"/>
      <c r="W29" s="285"/>
      <c r="X29" s="310"/>
      <c r="Y29" s="283"/>
      <c r="Z29" s="287"/>
      <c r="AA29" s="413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</row>
    <row r="30" spans="1:46" ht="30" hidden="1" customHeight="1">
      <c r="A30" s="434"/>
      <c r="B30" s="437"/>
      <c r="C30" s="439"/>
      <c r="D30" s="294"/>
      <c r="E30" s="295"/>
      <c r="F30" s="296"/>
      <c r="G30" s="297"/>
      <c r="H30" s="295"/>
      <c r="I30" s="296"/>
      <c r="J30" s="297"/>
      <c r="K30" s="295"/>
      <c r="L30" s="296"/>
      <c r="M30" s="297"/>
      <c r="N30" s="295"/>
      <c r="O30" s="296"/>
      <c r="P30" s="297"/>
      <c r="Q30" s="295"/>
      <c r="R30" s="296"/>
      <c r="S30" s="297"/>
      <c r="T30" s="295"/>
      <c r="U30" s="296"/>
      <c r="V30" s="297"/>
      <c r="W30" s="295"/>
      <c r="X30" s="296"/>
      <c r="Y30" s="297"/>
      <c r="Z30" s="298"/>
      <c r="AA30" s="414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</row>
    <row r="31" spans="1:46" ht="30" customHeight="1">
      <c r="A31" s="434">
        <v>3</v>
      </c>
      <c r="B31" s="436" t="s">
        <v>456</v>
      </c>
      <c r="C31" s="438" t="s">
        <v>348</v>
      </c>
      <c r="D31" s="299" t="s">
        <v>452</v>
      </c>
      <c r="E31" s="281">
        <v>2230000</v>
      </c>
      <c r="F31" s="308">
        <v>0</v>
      </c>
      <c r="G31" s="283">
        <f>E31+F31</f>
        <v>2230000</v>
      </c>
      <c r="H31" s="284">
        <v>730000</v>
      </c>
      <c r="I31" s="309">
        <v>7500</v>
      </c>
      <c r="J31" s="283">
        <f t="shared" ref="J31" si="14">H31+I31</f>
        <v>737500</v>
      </c>
      <c r="K31" s="284">
        <v>490000</v>
      </c>
      <c r="L31" s="309">
        <v>0</v>
      </c>
      <c r="M31" s="283">
        <f>K31+L31</f>
        <v>490000</v>
      </c>
      <c r="N31" s="284"/>
      <c r="O31" s="309"/>
      <c r="P31" s="283"/>
      <c r="Q31" s="284"/>
      <c r="R31" s="309"/>
      <c r="S31" s="283"/>
      <c r="T31" s="285">
        <f>SUM(H31,K31,N31,Q31)</f>
        <v>1220000</v>
      </c>
      <c r="U31" s="289">
        <f>SUM(I31,L31,O31,R31,)</f>
        <v>7500</v>
      </c>
      <c r="V31" s="283">
        <f>SUM(J31,M31,P31,S31)</f>
        <v>1227500</v>
      </c>
      <c r="W31" s="285">
        <v>1010000</v>
      </c>
      <c r="X31" s="310">
        <v>-7500</v>
      </c>
      <c r="Y31" s="283">
        <f t="shared" ref="Y31" si="15">W31+X31</f>
        <v>1002500</v>
      </c>
      <c r="Z31" s="287">
        <f t="shared" si="1"/>
        <v>2230000</v>
      </c>
      <c r="AA31" s="413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</row>
    <row r="32" spans="1:46" ht="30" customHeight="1">
      <c r="A32" s="434"/>
      <c r="B32" s="437"/>
      <c r="C32" s="439"/>
      <c r="D32" s="294" t="s">
        <v>454</v>
      </c>
      <c r="E32" s="295">
        <f t="shared" ref="E32:M32" si="16">SUM(E31:E31)</f>
        <v>2230000</v>
      </c>
      <c r="F32" s="296">
        <f t="shared" si="16"/>
        <v>0</v>
      </c>
      <c r="G32" s="297">
        <f t="shared" si="16"/>
        <v>2230000</v>
      </c>
      <c r="H32" s="295">
        <f t="shared" si="16"/>
        <v>730000</v>
      </c>
      <c r="I32" s="296">
        <f t="shared" si="16"/>
        <v>7500</v>
      </c>
      <c r="J32" s="297">
        <f t="shared" si="16"/>
        <v>737500</v>
      </c>
      <c r="K32" s="295">
        <f t="shared" si="16"/>
        <v>490000</v>
      </c>
      <c r="L32" s="296">
        <f t="shared" si="16"/>
        <v>0</v>
      </c>
      <c r="M32" s="297">
        <f t="shared" si="16"/>
        <v>490000</v>
      </c>
      <c r="N32" s="295"/>
      <c r="O32" s="296"/>
      <c r="P32" s="297"/>
      <c r="Q32" s="295"/>
      <c r="R32" s="296"/>
      <c r="S32" s="297"/>
      <c r="T32" s="295">
        <f t="shared" ref="T32:Y32" si="17">SUM(T31:T31)</f>
        <v>1220000</v>
      </c>
      <c r="U32" s="296">
        <f t="shared" si="17"/>
        <v>7500</v>
      </c>
      <c r="V32" s="297">
        <f t="shared" si="17"/>
        <v>1227500</v>
      </c>
      <c r="W32" s="295">
        <f t="shared" si="17"/>
        <v>1010000</v>
      </c>
      <c r="X32" s="296">
        <f t="shared" si="17"/>
        <v>-7500</v>
      </c>
      <c r="Y32" s="297">
        <f t="shared" si="17"/>
        <v>1002500</v>
      </c>
      <c r="Z32" s="298">
        <f t="shared" si="1"/>
        <v>2230000</v>
      </c>
      <c r="AA32" s="414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</row>
    <row r="33" spans="1:46" ht="30" customHeight="1">
      <c r="A33" s="434">
        <v>4</v>
      </c>
      <c r="B33" s="435" t="s">
        <v>457</v>
      </c>
      <c r="C33" s="438" t="s">
        <v>239</v>
      </c>
      <c r="D33" s="311" t="s">
        <v>451</v>
      </c>
      <c r="E33" s="281">
        <f>SUM(E34:E35)</f>
        <v>62162455</v>
      </c>
      <c r="F33" s="312">
        <f t="shared" ref="F33:L33" si="18">SUM(F34:F35)</f>
        <v>240348</v>
      </c>
      <c r="G33" s="283">
        <f>E33+F33</f>
        <v>62402803</v>
      </c>
      <c r="H33" s="281">
        <v>21805073</v>
      </c>
      <c r="I33" s="312">
        <v>2462341</v>
      </c>
      <c r="J33" s="283">
        <f>H33+I33</f>
        <v>24267414</v>
      </c>
      <c r="K33" s="281">
        <f t="shared" si="18"/>
        <v>30972182</v>
      </c>
      <c r="L33" s="312">
        <f t="shared" si="18"/>
        <v>0</v>
      </c>
      <c r="M33" s="283">
        <f>K33+L33</f>
        <v>30972182</v>
      </c>
      <c r="N33" s="284"/>
      <c r="O33" s="282"/>
      <c r="P33" s="283"/>
      <c r="Q33" s="284"/>
      <c r="R33" s="282"/>
      <c r="S33" s="283"/>
      <c r="T33" s="281">
        <f>SUM(T34:T35)</f>
        <v>52777255</v>
      </c>
      <c r="U33" s="312">
        <f t="shared" ref="U33" si="19">SUM(U34:U35)</f>
        <v>2462341</v>
      </c>
      <c r="V33" s="283">
        <f>T33+U33</f>
        <v>55239596</v>
      </c>
      <c r="W33" s="281">
        <f>SUM(W34:W35)</f>
        <v>10629598</v>
      </c>
      <c r="X33" s="312">
        <f t="shared" ref="X33" si="20">SUM(X34:X35)</f>
        <v>-2504515</v>
      </c>
      <c r="Y33" s="283">
        <f>W33+X33</f>
        <v>8125083</v>
      </c>
      <c r="Z33" s="287">
        <f t="shared" si="1"/>
        <v>63364679</v>
      </c>
      <c r="AA33" s="412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ht="30" hidden="1" customHeight="1">
      <c r="A34" s="434"/>
      <c r="B34" s="436"/>
      <c r="C34" s="438"/>
      <c r="D34" s="299" t="s">
        <v>458</v>
      </c>
      <c r="E34" s="281">
        <v>60375593</v>
      </c>
      <c r="F34" s="282">
        <v>233693</v>
      </c>
      <c r="G34" s="283">
        <f t="shared" ref="G34:G38" si="21">E34+F34</f>
        <v>60609286</v>
      </c>
      <c r="H34" s="284">
        <v>19952843</v>
      </c>
      <c r="I34" s="282">
        <v>2344553</v>
      </c>
      <c r="J34" s="283">
        <f t="shared" ref="J34:J38" si="22">H34+I34</f>
        <v>22297396</v>
      </c>
      <c r="K34" s="284">
        <v>30127937</v>
      </c>
      <c r="L34" s="282">
        <v>233693</v>
      </c>
      <c r="M34" s="283">
        <f t="shared" ref="M34:M38" si="23">K34+L34</f>
        <v>30361630</v>
      </c>
      <c r="N34" s="284"/>
      <c r="O34" s="282"/>
      <c r="P34" s="283"/>
      <c r="Q34" s="284"/>
      <c r="R34" s="282"/>
      <c r="S34" s="283"/>
      <c r="T34" s="285">
        <f>SUM(H34,K34,N34,Q34)</f>
        <v>50080780</v>
      </c>
      <c r="U34" s="293">
        <f>SUM(I34,L34,O34,R34,)</f>
        <v>2578246</v>
      </c>
      <c r="V34" s="283">
        <f>SUM(J34,M34,P34,S34)</f>
        <v>52659026</v>
      </c>
      <c r="W34" s="285">
        <v>10294813</v>
      </c>
      <c r="X34" s="286">
        <v>-2344553</v>
      </c>
      <c r="Y34" s="283">
        <f t="shared" ref="Y34:Y38" si="24">W34+X34</f>
        <v>7950260</v>
      </c>
      <c r="Z34" s="287">
        <f>SUM(V34,Y34)</f>
        <v>60609286</v>
      </c>
      <c r="AA34" s="413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30" hidden="1" customHeight="1">
      <c r="A35" s="434"/>
      <c r="B35" s="436"/>
      <c r="C35" s="438"/>
      <c r="D35" s="299" t="s">
        <v>48</v>
      </c>
      <c r="E35" s="281">
        <v>1786862</v>
      </c>
      <c r="F35" s="282">
        <v>6655</v>
      </c>
      <c r="G35" s="283">
        <f t="shared" si="21"/>
        <v>1793517</v>
      </c>
      <c r="H35" s="284">
        <v>1852230</v>
      </c>
      <c r="I35" s="282">
        <v>117788</v>
      </c>
      <c r="J35" s="283">
        <f t="shared" si="22"/>
        <v>1970018</v>
      </c>
      <c r="K35" s="284">
        <v>844245</v>
      </c>
      <c r="L35" s="282">
        <v>-233693</v>
      </c>
      <c r="M35" s="283">
        <f t="shared" si="23"/>
        <v>610552</v>
      </c>
      <c r="N35" s="284"/>
      <c r="O35" s="282"/>
      <c r="P35" s="283"/>
      <c r="Q35" s="284"/>
      <c r="R35" s="282"/>
      <c r="S35" s="283"/>
      <c r="T35" s="285">
        <f>SUM(H35,K35,N35,Q35)</f>
        <v>2696475</v>
      </c>
      <c r="U35" s="293">
        <f>SUM(I35,L35,O35,R35,)</f>
        <v>-115905</v>
      </c>
      <c r="V35" s="283">
        <f>SUM(J35,M35,P35,S35)</f>
        <v>2580570</v>
      </c>
      <c r="W35" s="285">
        <v>334785</v>
      </c>
      <c r="X35" s="286">
        <v>-159962</v>
      </c>
      <c r="Y35" s="283">
        <f t="shared" si="24"/>
        <v>174823</v>
      </c>
      <c r="Z35" s="287">
        <f t="shared" si="1"/>
        <v>2755393</v>
      </c>
      <c r="AA35" s="413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</row>
    <row r="36" spans="1:46" s="269" customFormat="1" ht="30" customHeight="1">
      <c r="A36" s="434"/>
      <c r="B36" s="436"/>
      <c r="C36" s="438"/>
      <c r="D36" s="313" t="s">
        <v>453</v>
      </c>
      <c r="E36" s="281">
        <f t="shared" ref="E36:L36" si="25">SUM(E37:E38)</f>
        <v>2291636</v>
      </c>
      <c r="F36" s="312">
        <f t="shared" si="25"/>
        <v>-240347</v>
      </c>
      <c r="G36" s="283">
        <f t="shared" si="21"/>
        <v>2051289</v>
      </c>
      <c r="H36" s="281">
        <v>640188</v>
      </c>
      <c r="I36" s="312">
        <v>31917</v>
      </c>
      <c r="J36" s="283">
        <f t="shared" si="22"/>
        <v>672105</v>
      </c>
      <c r="K36" s="281">
        <f t="shared" si="25"/>
        <v>262450</v>
      </c>
      <c r="L36" s="312">
        <f t="shared" si="25"/>
        <v>131817</v>
      </c>
      <c r="M36" s="283">
        <f t="shared" si="23"/>
        <v>394267</v>
      </c>
      <c r="N36" s="284"/>
      <c r="O36" s="291"/>
      <c r="P36" s="283"/>
      <c r="Q36" s="284"/>
      <c r="R36" s="291"/>
      <c r="S36" s="283"/>
      <c r="T36" s="281">
        <f>SUM(T37:T38)</f>
        <v>902638</v>
      </c>
      <c r="U36" s="312">
        <f t="shared" ref="U36" si="26">SUM(U37:U38)</f>
        <v>163734</v>
      </c>
      <c r="V36" s="283">
        <f t="shared" ref="V36" si="27">T36+U36</f>
        <v>1066372</v>
      </c>
      <c r="W36" s="281">
        <f>SUM(W37:W38)</f>
        <v>144600</v>
      </c>
      <c r="X36" s="312">
        <f t="shared" ref="X36" si="28">SUM(X37:X38)</f>
        <v>-121559</v>
      </c>
      <c r="Y36" s="283">
        <f t="shared" si="24"/>
        <v>23041</v>
      </c>
      <c r="Z36" s="287">
        <f t="shared" si="1"/>
        <v>1089413</v>
      </c>
      <c r="AA36" s="413"/>
      <c r="AB36" s="268"/>
      <c r="AC36" s="268"/>
      <c r="AD36" s="268"/>
      <c r="AE36" s="268"/>
      <c r="AF36" s="268"/>
      <c r="AG36" s="268"/>
      <c r="AH36" s="268"/>
      <c r="AI36" s="268"/>
      <c r="AJ36" s="268"/>
      <c r="AK36" s="268"/>
      <c r="AL36" s="268"/>
      <c r="AM36" s="268"/>
      <c r="AN36" s="268"/>
      <c r="AO36" s="268"/>
      <c r="AP36" s="268"/>
      <c r="AQ36" s="268"/>
      <c r="AR36" s="268"/>
      <c r="AS36" s="268"/>
      <c r="AT36" s="268"/>
    </row>
    <row r="37" spans="1:46" s="269" customFormat="1" ht="30" hidden="1" customHeight="1">
      <c r="A37" s="434"/>
      <c r="B37" s="436"/>
      <c r="C37" s="438"/>
      <c r="D37" s="299" t="s">
        <v>458</v>
      </c>
      <c r="E37" s="281">
        <v>2249204</v>
      </c>
      <c r="F37" s="291">
        <v>-233692</v>
      </c>
      <c r="G37" s="283">
        <f t="shared" si="21"/>
        <v>2015512</v>
      </c>
      <c r="H37" s="284">
        <v>607832</v>
      </c>
      <c r="I37" s="291">
        <v>29544</v>
      </c>
      <c r="J37" s="283">
        <f t="shared" si="22"/>
        <v>637376</v>
      </c>
      <c r="K37" s="284">
        <v>256974</v>
      </c>
      <c r="L37" s="291">
        <v>137073</v>
      </c>
      <c r="M37" s="283">
        <f t="shared" si="23"/>
        <v>394047</v>
      </c>
      <c r="N37" s="284"/>
      <c r="O37" s="291"/>
      <c r="P37" s="283"/>
      <c r="Q37" s="284"/>
      <c r="R37" s="291"/>
      <c r="S37" s="283"/>
      <c r="T37" s="285">
        <f>SUM(H37,K37,N37,Q37)</f>
        <v>864806</v>
      </c>
      <c r="U37" s="293">
        <f>SUM(I37,L37,O37,R37,)</f>
        <v>166617</v>
      </c>
      <c r="V37" s="283">
        <f>SUM(J37,M37,P37,S37)</f>
        <v>1031423</v>
      </c>
      <c r="W37" s="285">
        <v>140000</v>
      </c>
      <c r="X37" s="293">
        <v>-117787</v>
      </c>
      <c r="Y37" s="283">
        <f t="shared" si="24"/>
        <v>22213</v>
      </c>
      <c r="Z37" s="287">
        <f t="shared" si="1"/>
        <v>1053636</v>
      </c>
      <c r="AA37" s="413"/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68"/>
      <c r="AS37" s="268"/>
      <c r="AT37" s="268"/>
    </row>
    <row r="38" spans="1:46" s="269" customFormat="1" ht="30" hidden="1" customHeight="1">
      <c r="A38" s="434"/>
      <c r="B38" s="436"/>
      <c r="C38" s="438"/>
      <c r="D38" s="299" t="s">
        <v>48</v>
      </c>
      <c r="E38" s="281">
        <v>42432</v>
      </c>
      <c r="F38" s="291">
        <v>-6655</v>
      </c>
      <c r="G38" s="283">
        <f t="shared" si="21"/>
        <v>35777</v>
      </c>
      <c r="H38" s="284">
        <v>32356</v>
      </c>
      <c r="I38" s="291">
        <v>2373</v>
      </c>
      <c r="J38" s="283">
        <f t="shared" si="22"/>
        <v>34729</v>
      </c>
      <c r="K38" s="284">
        <v>5476</v>
      </c>
      <c r="L38" s="291">
        <v>-5256</v>
      </c>
      <c r="M38" s="283">
        <f t="shared" si="23"/>
        <v>220</v>
      </c>
      <c r="N38" s="284"/>
      <c r="O38" s="291"/>
      <c r="P38" s="283"/>
      <c r="Q38" s="284"/>
      <c r="R38" s="291"/>
      <c r="S38" s="283"/>
      <c r="T38" s="285">
        <f>SUM(H38,K38,N38,Q38)</f>
        <v>37832</v>
      </c>
      <c r="U38" s="293">
        <f>SUM(I38,L38,O38,R38,)</f>
        <v>-2883</v>
      </c>
      <c r="V38" s="283">
        <f>SUM(J38,M38,P38,S38)</f>
        <v>34949</v>
      </c>
      <c r="W38" s="285">
        <v>4600</v>
      </c>
      <c r="X38" s="293">
        <v>-3772</v>
      </c>
      <c r="Y38" s="283">
        <f t="shared" si="24"/>
        <v>828</v>
      </c>
      <c r="Z38" s="287">
        <f t="shared" si="1"/>
        <v>35777</v>
      </c>
      <c r="AA38" s="413"/>
      <c r="AB38" s="268"/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</row>
    <row r="39" spans="1:46" ht="30" customHeight="1">
      <c r="A39" s="434"/>
      <c r="B39" s="437"/>
      <c r="C39" s="439"/>
      <c r="D39" s="294" t="s">
        <v>454</v>
      </c>
      <c r="E39" s="295">
        <f>SUM(E33,E36)</f>
        <v>64454091</v>
      </c>
      <c r="F39" s="296">
        <f t="shared" ref="F39:M39" si="29">SUM(F33,F36)</f>
        <v>1</v>
      </c>
      <c r="G39" s="297">
        <f t="shared" si="29"/>
        <v>64454092</v>
      </c>
      <c r="H39" s="295">
        <f t="shared" si="29"/>
        <v>22445261</v>
      </c>
      <c r="I39" s="296">
        <f t="shared" si="29"/>
        <v>2494258</v>
      </c>
      <c r="J39" s="297">
        <f t="shared" si="29"/>
        <v>24939519</v>
      </c>
      <c r="K39" s="295">
        <f t="shared" si="29"/>
        <v>31234632</v>
      </c>
      <c r="L39" s="296">
        <f t="shared" si="29"/>
        <v>131817</v>
      </c>
      <c r="M39" s="297">
        <f t="shared" si="29"/>
        <v>31366449</v>
      </c>
      <c r="N39" s="295"/>
      <c r="O39" s="296"/>
      <c r="P39" s="297"/>
      <c r="Q39" s="295"/>
      <c r="R39" s="296"/>
      <c r="S39" s="297"/>
      <c r="T39" s="295">
        <f>SUM(T33,T36)</f>
        <v>53679893</v>
      </c>
      <c r="U39" s="296">
        <f t="shared" ref="U39:V39" si="30">SUM(U33,U36)</f>
        <v>2626075</v>
      </c>
      <c r="V39" s="297">
        <f t="shared" si="30"/>
        <v>56305968</v>
      </c>
      <c r="W39" s="295">
        <f>SUM(W33,W36)</f>
        <v>10774198</v>
      </c>
      <c r="X39" s="296">
        <f t="shared" ref="X39:Y39" si="31">SUM(X33,X36)</f>
        <v>-2626074</v>
      </c>
      <c r="Y39" s="297">
        <f t="shared" si="31"/>
        <v>8148124</v>
      </c>
      <c r="Z39" s="298">
        <f t="shared" si="1"/>
        <v>64454092</v>
      </c>
      <c r="AA39" s="414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</row>
    <row r="40" spans="1:46" ht="30" customHeight="1">
      <c r="A40" s="434">
        <v>5</v>
      </c>
      <c r="B40" s="435" t="s">
        <v>459</v>
      </c>
      <c r="C40" s="438" t="s">
        <v>319</v>
      </c>
      <c r="D40" s="313" t="s">
        <v>453</v>
      </c>
      <c r="E40" s="276">
        <f>SUM(E41:E42)</f>
        <v>111136968</v>
      </c>
      <c r="F40" s="314">
        <f t="shared" ref="F40:P40" si="32">SUM(F41:F42)</f>
        <v>-9293347</v>
      </c>
      <c r="G40" s="315">
        <f t="shared" si="32"/>
        <v>101843621</v>
      </c>
      <c r="H40" s="276">
        <f t="shared" si="32"/>
        <v>24634392</v>
      </c>
      <c r="I40" s="314">
        <f t="shared" si="32"/>
        <v>36613</v>
      </c>
      <c r="J40" s="315">
        <f t="shared" si="32"/>
        <v>24671005</v>
      </c>
      <c r="K40" s="276">
        <f t="shared" si="32"/>
        <v>24537755</v>
      </c>
      <c r="L40" s="314">
        <f t="shared" si="32"/>
        <v>0</v>
      </c>
      <c r="M40" s="315">
        <f t="shared" si="32"/>
        <v>24537755</v>
      </c>
      <c r="N40" s="276">
        <f t="shared" si="32"/>
        <v>2505000</v>
      </c>
      <c r="O40" s="314">
        <f t="shared" si="32"/>
        <v>0</v>
      </c>
      <c r="P40" s="315">
        <f t="shared" si="32"/>
        <v>2505000</v>
      </c>
      <c r="Q40" s="284"/>
      <c r="R40" s="291"/>
      <c r="S40" s="283">
        <f t="shared" ref="S40" si="33">Q40+R40</f>
        <v>0</v>
      </c>
      <c r="T40" s="285">
        <f>SUM(H40,K40,N40,Q40)</f>
        <v>51677147</v>
      </c>
      <c r="U40" s="293">
        <f>SUM(I40,L40,O40,R40,)</f>
        <v>36613</v>
      </c>
      <c r="V40" s="283">
        <f>SUM(J40,M40,P40,S40)</f>
        <v>51713760</v>
      </c>
      <c r="W40" s="285">
        <f>W41+W42</f>
        <v>59459821</v>
      </c>
      <c r="X40" s="286">
        <f>X41+X42</f>
        <v>-9329960</v>
      </c>
      <c r="Y40" s="283">
        <f t="shared" ref="Y40:Y42" si="34">W40+X40</f>
        <v>50129861</v>
      </c>
      <c r="Z40" s="287">
        <f t="shared" si="1"/>
        <v>101843621</v>
      </c>
      <c r="AA40" s="412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</row>
    <row r="41" spans="1:46" ht="30" hidden="1" customHeight="1">
      <c r="A41" s="434"/>
      <c r="B41" s="436"/>
      <c r="C41" s="438"/>
      <c r="D41" s="299" t="s">
        <v>458</v>
      </c>
      <c r="E41" s="276">
        <v>110883099</v>
      </c>
      <c r="F41" s="291">
        <v>-9154017</v>
      </c>
      <c r="G41" s="283">
        <f>E41+F41</f>
        <v>101729082</v>
      </c>
      <c r="H41" s="284">
        <v>24564892</v>
      </c>
      <c r="I41" s="291">
        <v>34241</v>
      </c>
      <c r="J41" s="283">
        <f t="shared" ref="J41:J42" si="35">H41+I41</f>
        <v>24599133</v>
      </c>
      <c r="K41" s="284">
        <v>24537755</v>
      </c>
      <c r="L41" s="291">
        <v>0</v>
      </c>
      <c r="M41" s="283">
        <f t="shared" ref="M41:M42" si="36">K41+L41</f>
        <v>24537755</v>
      </c>
      <c r="N41" s="284">
        <v>2505000</v>
      </c>
      <c r="O41" s="291">
        <v>0</v>
      </c>
      <c r="P41" s="283">
        <f t="shared" ref="P41:P42" si="37">N41+O41</f>
        <v>2505000</v>
      </c>
      <c r="Q41" s="284"/>
      <c r="R41" s="291"/>
      <c r="S41" s="283"/>
      <c r="T41" s="285">
        <f t="shared" ref="T41:T42" si="38">SUM(H41,K41,N41,Q41)</f>
        <v>51607647</v>
      </c>
      <c r="U41" s="293">
        <f t="shared" ref="U41:U42" si="39">SUM(I41,L41,O41,R41,)</f>
        <v>34241</v>
      </c>
      <c r="V41" s="283">
        <f t="shared" ref="V41:V42" si="40">SUM(J41,M41,P41,S41)</f>
        <v>51641888</v>
      </c>
      <c r="W41" s="285">
        <v>59275452</v>
      </c>
      <c r="X41" s="293">
        <v>-9188258</v>
      </c>
      <c r="Y41" s="283">
        <f t="shared" si="34"/>
        <v>50087194</v>
      </c>
      <c r="Z41" s="287">
        <f t="shared" si="1"/>
        <v>101729082</v>
      </c>
      <c r="AA41" s="413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</row>
    <row r="42" spans="1:46" ht="30" hidden="1" customHeight="1">
      <c r="A42" s="434"/>
      <c r="B42" s="436"/>
      <c r="C42" s="438"/>
      <c r="D42" s="299" t="s">
        <v>48</v>
      </c>
      <c r="E42" s="276">
        <v>253869</v>
      </c>
      <c r="F42" s="291">
        <v>-139330</v>
      </c>
      <c r="G42" s="283">
        <f>E42+F42</f>
        <v>114539</v>
      </c>
      <c r="H42" s="284">
        <v>69500</v>
      </c>
      <c r="I42" s="291">
        <v>2372</v>
      </c>
      <c r="J42" s="283">
        <f t="shared" si="35"/>
        <v>71872</v>
      </c>
      <c r="K42" s="284">
        <v>0</v>
      </c>
      <c r="L42" s="291">
        <v>0</v>
      </c>
      <c r="M42" s="283">
        <f t="shared" si="36"/>
        <v>0</v>
      </c>
      <c r="N42" s="284">
        <v>0</v>
      </c>
      <c r="O42" s="291">
        <v>0</v>
      </c>
      <c r="P42" s="283">
        <f t="shared" si="37"/>
        <v>0</v>
      </c>
      <c r="Q42" s="284"/>
      <c r="R42" s="291"/>
      <c r="S42" s="283"/>
      <c r="T42" s="285">
        <f t="shared" si="38"/>
        <v>69500</v>
      </c>
      <c r="U42" s="293">
        <f t="shared" si="39"/>
        <v>2372</v>
      </c>
      <c r="V42" s="283">
        <f t="shared" si="40"/>
        <v>71872</v>
      </c>
      <c r="W42" s="285">
        <v>184369</v>
      </c>
      <c r="X42" s="293">
        <v>-141702</v>
      </c>
      <c r="Y42" s="283">
        <f t="shared" si="34"/>
        <v>42667</v>
      </c>
      <c r="Z42" s="287">
        <f t="shared" si="1"/>
        <v>114539</v>
      </c>
      <c r="AA42" s="413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</row>
    <row r="43" spans="1:46" ht="30" customHeight="1">
      <c r="A43" s="434"/>
      <c r="B43" s="437"/>
      <c r="C43" s="439"/>
      <c r="D43" s="294" t="s">
        <v>454</v>
      </c>
      <c r="E43" s="295">
        <f t="shared" ref="E43:Y43" si="41">SUM(E40:E40)</f>
        <v>111136968</v>
      </c>
      <c r="F43" s="296">
        <f t="shared" si="41"/>
        <v>-9293347</v>
      </c>
      <c r="G43" s="297">
        <f t="shared" si="41"/>
        <v>101843621</v>
      </c>
      <c r="H43" s="295">
        <f t="shared" si="41"/>
        <v>24634392</v>
      </c>
      <c r="I43" s="296">
        <f t="shared" si="41"/>
        <v>36613</v>
      </c>
      <c r="J43" s="297">
        <f t="shared" si="41"/>
        <v>24671005</v>
      </c>
      <c r="K43" s="295">
        <f t="shared" si="41"/>
        <v>24537755</v>
      </c>
      <c r="L43" s="296">
        <f t="shared" si="41"/>
        <v>0</v>
      </c>
      <c r="M43" s="297">
        <f t="shared" si="41"/>
        <v>24537755</v>
      </c>
      <c r="N43" s="295">
        <f t="shared" si="41"/>
        <v>2505000</v>
      </c>
      <c r="O43" s="296">
        <f t="shared" si="41"/>
        <v>0</v>
      </c>
      <c r="P43" s="297">
        <f t="shared" si="41"/>
        <v>2505000</v>
      </c>
      <c r="Q43" s="295">
        <f t="shared" si="41"/>
        <v>0</v>
      </c>
      <c r="R43" s="296">
        <f t="shared" si="41"/>
        <v>0</v>
      </c>
      <c r="S43" s="297">
        <f t="shared" si="41"/>
        <v>0</v>
      </c>
      <c r="T43" s="295">
        <f t="shared" si="41"/>
        <v>51677147</v>
      </c>
      <c r="U43" s="296">
        <f t="shared" si="41"/>
        <v>36613</v>
      </c>
      <c r="V43" s="297">
        <f t="shared" si="41"/>
        <v>51713760</v>
      </c>
      <c r="W43" s="295">
        <f t="shared" si="41"/>
        <v>59459821</v>
      </c>
      <c r="X43" s="296">
        <f t="shared" si="41"/>
        <v>-9329960</v>
      </c>
      <c r="Y43" s="297">
        <f t="shared" si="41"/>
        <v>50129861</v>
      </c>
      <c r="Z43" s="298">
        <f t="shared" si="1"/>
        <v>101843621</v>
      </c>
      <c r="AA43" s="414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</row>
    <row r="44" spans="1:46" ht="30" customHeight="1">
      <c r="A44" s="441">
        <v>6</v>
      </c>
      <c r="B44" s="436" t="s">
        <v>460</v>
      </c>
      <c r="C44" s="444" t="s">
        <v>250</v>
      </c>
      <c r="D44" s="299" t="s">
        <v>452</v>
      </c>
      <c r="E44" s="276">
        <v>10051737</v>
      </c>
      <c r="F44" s="288">
        <v>-34552</v>
      </c>
      <c r="G44" s="283">
        <f>E44+F44</f>
        <v>10017185</v>
      </c>
      <c r="H44" s="284">
        <v>2421078</v>
      </c>
      <c r="I44" s="288">
        <v>0</v>
      </c>
      <c r="J44" s="283">
        <f t="shared" ref="J44:J45" si="42">H44+I44</f>
        <v>2421078</v>
      </c>
      <c r="K44" s="284">
        <v>2159763</v>
      </c>
      <c r="L44" s="288">
        <v>0</v>
      </c>
      <c r="M44" s="283">
        <f t="shared" ref="M44:M45" si="43">K44+L44</f>
        <v>2159763</v>
      </c>
      <c r="N44" s="284">
        <v>1726200</v>
      </c>
      <c r="O44" s="288">
        <v>0</v>
      </c>
      <c r="P44" s="283">
        <f t="shared" ref="P44:P45" si="44">N44+O44</f>
        <v>1726200</v>
      </c>
      <c r="Q44" s="284"/>
      <c r="R44" s="288"/>
      <c r="S44" s="283"/>
      <c r="T44" s="285">
        <f>SUM(H44,K44,N44,Q44)</f>
        <v>6307041</v>
      </c>
      <c r="U44" s="289">
        <f>SUM(I44,L44,O44,R44,)</f>
        <v>0</v>
      </c>
      <c r="V44" s="283">
        <f>SUM(J44,M44,P44,S44)</f>
        <v>6307041</v>
      </c>
      <c r="W44" s="285">
        <v>3744696</v>
      </c>
      <c r="X44" s="289">
        <v>-34552</v>
      </c>
      <c r="Y44" s="283">
        <f t="shared" ref="Y44:Y45" si="45">W44+X44</f>
        <v>3710144</v>
      </c>
      <c r="Z44" s="287">
        <f t="shared" si="1"/>
        <v>10017185</v>
      </c>
      <c r="AA44" s="412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</row>
    <row r="45" spans="1:46" ht="30" customHeight="1">
      <c r="A45" s="441"/>
      <c r="B45" s="436"/>
      <c r="C45" s="444"/>
      <c r="D45" s="313" t="s">
        <v>453</v>
      </c>
      <c r="E45" s="276">
        <v>62760457</v>
      </c>
      <c r="F45" s="291">
        <v>-320817</v>
      </c>
      <c r="G45" s="283">
        <f>E45+F45</f>
        <v>62439640</v>
      </c>
      <c r="H45" s="284">
        <v>15382122</v>
      </c>
      <c r="I45" s="291">
        <v>0</v>
      </c>
      <c r="J45" s="283">
        <f t="shared" si="42"/>
        <v>15382122</v>
      </c>
      <c r="K45" s="284">
        <v>13346437</v>
      </c>
      <c r="L45" s="291">
        <v>0</v>
      </c>
      <c r="M45" s="283">
        <f t="shared" si="43"/>
        <v>13346437</v>
      </c>
      <c r="N45" s="284">
        <v>9781800</v>
      </c>
      <c r="O45" s="291">
        <v>0</v>
      </c>
      <c r="P45" s="283">
        <f t="shared" si="44"/>
        <v>9781800</v>
      </c>
      <c r="Q45" s="284"/>
      <c r="R45" s="291"/>
      <c r="S45" s="283"/>
      <c r="T45" s="285">
        <f>SUM(H45,K45,N45,Q45)</f>
        <v>38510359</v>
      </c>
      <c r="U45" s="293">
        <f>SUM(I45,L45,O45,R45,)</f>
        <v>0</v>
      </c>
      <c r="V45" s="283">
        <f>SUM(J45,M45,P45,S45)</f>
        <v>38510359</v>
      </c>
      <c r="W45" s="285">
        <v>24250098</v>
      </c>
      <c r="X45" s="293">
        <v>-320817</v>
      </c>
      <c r="Y45" s="283">
        <f t="shared" si="45"/>
        <v>23929281</v>
      </c>
      <c r="Z45" s="287">
        <f t="shared" si="1"/>
        <v>62439640</v>
      </c>
      <c r="AA45" s="413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</row>
    <row r="46" spans="1:46" ht="30" customHeight="1">
      <c r="A46" s="442"/>
      <c r="B46" s="437"/>
      <c r="C46" s="445"/>
      <c r="D46" s="294" t="s">
        <v>454</v>
      </c>
      <c r="E46" s="295">
        <f t="shared" ref="E46:P46" si="46">SUM(E44:E45)</f>
        <v>72812194</v>
      </c>
      <c r="F46" s="296">
        <f t="shared" si="46"/>
        <v>-355369</v>
      </c>
      <c r="G46" s="297">
        <f t="shared" si="46"/>
        <v>72456825</v>
      </c>
      <c r="H46" s="295">
        <f t="shared" si="46"/>
        <v>17803200</v>
      </c>
      <c r="I46" s="296">
        <f t="shared" si="46"/>
        <v>0</v>
      </c>
      <c r="J46" s="297">
        <f t="shared" si="46"/>
        <v>17803200</v>
      </c>
      <c r="K46" s="295">
        <f t="shared" si="46"/>
        <v>15506200</v>
      </c>
      <c r="L46" s="296">
        <f t="shared" si="46"/>
        <v>0</v>
      </c>
      <c r="M46" s="297">
        <f t="shared" si="46"/>
        <v>15506200</v>
      </c>
      <c r="N46" s="295">
        <f t="shared" si="46"/>
        <v>11508000</v>
      </c>
      <c r="O46" s="296">
        <f t="shared" si="46"/>
        <v>0</v>
      </c>
      <c r="P46" s="297">
        <f t="shared" si="46"/>
        <v>11508000</v>
      </c>
      <c r="Q46" s="295"/>
      <c r="R46" s="296"/>
      <c r="S46" s="297"/>
      <c r="T46" s="295">
        <f t="shared" ref="T46:Y46" si="47">SUM(T44:T45)</f>
        <v>44817400</v>
      </c>
      <c r="U46" s="296">
        <f t="shared" si="47"/>
        <v>0</v>
      </c>
      <c r="V46" s="297">
        <f t="shared" si="47"/>
        <v>44817400</v>
      </c>
      <c r="W46" s="295">
        <f t="shared" si="47"/>
        <v>27994794</v>
      </c>
      <c r="X46" s="296">
        <f t="shared" si="47"/>
        <v>-355369</v>
      </c>
      <c r="Y46" s="297">
        <f t="shared" si="47"/>
        <v>27639425</v>
      </c>
      <c r="Z46" s="298">
        <f t="shared" si="1"/>
        <v>72456825</v>
      </c>
      <c r="AA46" s="414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</row>
    <row r="47" spans="1:46" ht="30" customHeight="1">
      <c r="A47" s="446" t="s">
        <v>461</v>
      </c>
      <c r="B47" s="447"/>
      <c r="C47" s="448"/>
      <c r="D47" s="316" t="s">
        <v>451</v>
      </c>
      <c r="E47" s="257">
        <f>SUM(E48:E49)</f>
        <v>274748209</v>
      </c>
      <c r="F47" s="258">
        <f t="shared" ref="F47:Z47" si="48">SUM(F48:F49)</f>
        <v>10652947</v>
      </c>
      <c r="G47" s="255">
        <f t="shared" si="48"/>
        <v>285401156</v>
      </c>
      <c r="H47" s="257">
        <f t="shared" si="48"/>
        <v>117292094</v>
      </c>
      <c r="I47" s="258">
        <f t="shared" si="48"/>
        <v>3109861</v>
      </c>
      <c r="J47" s="255">
        <f t="shared" si="48"/>
        <v>120401955</v>
      </c>
      <c r="K47" s="257">
        <f t="shared" si="48"/>
        <v>119204730</v>
      </c>
      <c r="L47" s="258">
        <f t="shared" si="48"/>
        <v>-983587</v>
      </c>
      <c r="M47" s="255">
        <f t="shared" si="48"/>
        <v>118221143</v>
      </c>
      <c r="N47" s="257">
        <f t="shared" si="48"/>
        <v>10000000</v>
      </c>
      <c r="O47" s="258">
        <f t="shared" si="48"/>
        <v>11529664</v>
      </c>
      <c r="P47" s="255">
        <f t="shared" si="48"/>
        <v>21529664</v>
      </c>
      <c r="Q47" s="257">
        <f t="shared" si="48"/>
        <v>0</v>
      </c>
      <c r="R47" s="258">
        <f t="shared" si="48"/>
        <v>0</v>
      </c>
      <c r="S47" s="255">
        <f t="shared" si="48"/>
        <v>0</v>
      </c>
      <c r="T47" s="257">
        <f t="shared" si="48"/>
        <v>246496824</v>
      </c>
      <c r="U47" s="258">
        <f t="shared" si="48"/>
        <v>13655938</v>
      </c>
      <c r="V47" s="255">
        <f t="shared" si="48"/>
        <v>260152762</v>
      </c>
      <c r="W47" s="257">
        <f t="shared" si="48"/>
        <v>29495783</v>
      </c>
      <c r="X47" s="258">
        <f t="shared" si="48"/>
        <v>-3285513</v>
      </c>
      <c r="Y47" s="255">
        <f t="shared" si="48"/>
        <v>26210270</v>
      </c>
      <c r="Z47" s="257">
        <f t="shared" si="48"/>
        <v>286363032</v>
      </c>
      <c r="AA47" s="432"/>
    </row>
    <row r="48" spans="1:46" s="320" customFormat="1" ht="30" hidden="1" customHeight="1">
      <c r="A48" s="449"/>
      <c r="B48" s="450"/>
      <c r="C48" s="451"/>
      <c r="D48" s="305" t="s">
        <v>458</v>
      </c>
      <c r="E48" s="317">
        <f t="shared" ref="E48:Z48" si="49">SUM(E34)</f>
        <v>60375593</v>
      </c>
      <c r="F48" s="318">
        <f t="shared" si="49"/>
        <v>233693</v>
      </c>
      <c r="G48" s="319">
        <f t="shared" si="49"/>
        <v>60609286</v>
      </c>
      <c r="H48" s="317">
        <f t="shared" si="49"/>
        <v>19952843</v>
      </c>
      <c r="I48" s="318">
        <f t="shared" si="49"/>
        <v>2344553</v>
      </c>
      <c r="J48" s="319">
        <f t="shared" si="49"/>
        <v>22297396</v>
      </c>
      <c r="K48" s="317">
        <f t="shared" si="49"/>
        <v>30127937</v>
      </c>
      <c r="L48" s="318">
        <f t="shared" si="49"/>
        <v>233693</v>
      </c>
      <c r="M48" s="319">
        <f t="shared" si="49"/>
        <v>30361630</v>
      </c>
      <c r="N48" s="317">
        <f t="shared" si="49"/>
        <v>0</v>
      </c>
      <c r="O48" s="318">
        <f t="shared" si="49"/>
        <v>0</v>
      </c>
      <c r="P48" s="319">
        <f t="shared" si="49"/>
        <v>0</v>
      </c>
      <c r="Q48" s="317">
        <f t="shared" si="49"/>
        <v>0</v>
      </c>
      <c r="R48" s="318">
        <f t="shared" si="49"/>
        <v>0</v>
      </c>
      <c r="S48" s="319">
        <f t="shared" si="49"/>
        <v>0</v>
      </c>
      <c r="T48" s="317">
        <f t="shared" si="49"/>
        <v>50080780</v>
      </c>
      <c r="U48" s="318">
        <f t="shared" si="49"/>
        <v>2578246</v>
      </c>
      <c r="V48" s="319">
        <f t="shared" si="49"/>
        <v>52659026</v>
      </c>
      <c r="W48" s="317">
        <f t="shared" si="49"/>
        <v>10294813</v>
      </c>
      <c r="X48" s="318">
        <f t="shared" si="49"/>
        <v>-2344553</v>
      </c>
      <c r="Y48" s="319">
        <f t="shared" si="49"/>
        <v>7950260</v>
      </c>
      <c r="Z48" s="317">
        <f t="shared" si="49"/>
        <v>60609286</v>
      </c>
      <c r="AA48" s="433"/>
    </row>
    <row r="49" spans="1:27" s="55" customFormat="1" ht="30" hidden="1" customHeight="1">
      <c r="A49" s="449"/>
      <c r="B49" s="450"/>
      <c r="C49" s="451"/>
      <c r="D49" s="280" t="s">
        <v>48</v>
      </c>
      <c r="E49" s="321">
        <f t="shared" ref="E49:Z49" si="50">SUM(E8,E18,E22,E35)</f>
        <v>214372616</v>
      </c>
      <c r="F49" s="322">
        <f t="shared" si="50"/>
        <v>10419254</v>
      </c>
      <c r="G49" s="323">
        <f t="shared" si="50"/>
        <v>224791870</v>
      </c>
      <c r="H49" s="321">
        <f t="shared" si="50"/>
        <v>97339251</v>
      </c>
      <c r="I49" s="322">
        <f t="shared" si="50"/>
        <v>765308</v>
      </c>
      <c r="J49" s="323">
        <f t="shared" si="50"/>
        <v>98104559</v>
      </c>
      <c r="K49" s="321">
        <f t="shared" si="50"/>
        <v>89076793</v>
      </c>
      <c r="L49" s="322">
        <f t="shared" si="50"/>
        <v>-1217280</v>
      </c>
      <c r="M49" s="323">
        <f t="shared" si="50"/>
        <v>87859513</v>
      </c>
      <c r="N49" s="321">
        <f t="shared" si="50"/>
        <v>10000000</v>
      </c>
      <c r="O49" s="322">
        <f t="shared" si="50"/>
        <v>11529664</v>
      </c>
      <c r="P49" s="323">
        <f t="shared" si="50"/>
        <v>21529664</v>
      </c>
      <c r="Q49" s="321">
        <f t="shared" si="50"/>
        <v>0</v>
      </c>
      <c r="R49" s="322">
        <f t="shared" si="50"/>
        <v>0</v>
      </c>
      <c r="S49" s="323">
        <f t="shared" si="50"/>
        <v>0</v>
      </c>
      <c r="T49" s="321">
        <f t="shared" si="50"/>
        <v>196416044</v>
      </c>
      <c r="U49" s="322">
        <f t="shared" si="50"/>
        <v>11077692</v>
      </c>
      <c r="V49" s="323">
        <f t="shared" si="50"/>
        <v>207493736</v>
      </c>
      <c r="W49" s="321">
        <f t="shared" si="50"/>
        <v>19200970</v>
      </c>
      <c r="X49" s="322">
        <f t="shared" si="50"/>
        <v>-940960</v>
      </c>
      <c r="Y49" s="323">
        <f t="shared" si="50"/>
        <v>18260010</v>
      </c>
      <c r="Z49" s="321">
        <f t="shared" si="50"/>
        <v>225753746</v>
      </c>
      <c r="AA49" s="433"/>
    </row>
    <row r="50" spans="1:27" s="8" customFormat="1" ht="30" customHeight="1">
      <c r="A50" s="452"/>
      <c r="B50" s="453"/>
      <c r="C50" s="451"/>
      <c r="D50" s="316" t="s">
        <v>452</v>
      </c>
      <c r="E50" s="324">
        <f>SUM(E51:E52)</f>
        <v>135496981</v>
      </c>
      <c r="F50" s="325">
        <f t="shared" ref="F50:Z50" si="51">SUM(F51:F52)</f>
        <v>-14498544</v>
      </c>
      <c r="G50" s="265">
        <f t="shared" si="51"/>
        <v>120998437</v>
      </c>
      <c r="H50" s="324">
        <f t="shared" si="51"/>
        <v>42144057</v>
      </c>
      <c r="I50" s="325">
        <f t="shared" si="51"/>
        <v>-3602</v>
      </c>
      <c r="J50" s="265">
        <f t="shared" si="51"/>
        <v>42140455</v>
      </c>
      <c r="K50" s="324">
        <f t="shared" si="51"/>
        <v>43516006</v>
      </c>
      <c r="L50" s="325">
        <f t="shared" si="51"/>
        <v>-1504440</v>
      </c>
      <c r="M50" s="265">
        <f t="shared" si="51"/>
        <v>42011566</v>
      </c>
      <c r="N50" s="324">
        <f t="shared" si="51"/>
        <v>34676200</v>
      </c>
      <c r="O50" s="325">
        <f t="shared" si="51"/>
        <v>-10601606</v>
      </c>
      <c r="P50" s="265">
        <f t="shared" si="51"/>
        <v>24074594</v>
      </c>
      <c r="Q50" s="324">
        <f t="shared" si="51"/>
        <v>0</v>
      </c>
      <c r="R50" s="325">
        <f t="shared" si="51"/>
        <v>0</v>
      </c>
      <c r="S50" s="265">
        <f t="shared" si="51"/>
        <v>0</v>
      </c>
      <c r="T50" s="324">
        <f t="shared" si="51"/>
        <v>120336263</v>
      </c>
      <c r="U50" s="325">
        <f t="shared" si="51"/>
        <v>-12109648</v>
      </c>
      <c r="V50" s="265">
        <f t="shared" si="51"/>
        <v>108226615</v>
      </c>
      <c r="W50" s="324">
        <f t="shared" si="51"/>
        <v>15160718</v>
      </c>
      <c r="X50" s="325">
        <f t="shared" si="51"/>
        <v>-2388896</v>
      </c>
      <c r="Y50" s="265">
        <f t="shared" si="51"/>
        <v>12771822</v>
      </c>
      <c r="Z50" s="324">
        <f t="shared" si="51"/>
        <v>120998437</v>
      </c>
      <c r="AA50" s="457"/>
    </row>
    <row r="51" spans="1:27" s="320" customFormat="1" ht="30" hidden="1" customHeight="1">
      <c r="A51" s="452"/>
      <c r="B51" s="453"/>
      <c r="C51" s="451"/>
      <c r="D51" s="305" t="s">
        <v>458</v>
      </c>
      <c r="E51" s="317">
        <f t="shared" ref="E51:Z51" si="52">SUM(E12,E14,E16,E25,E27,E29)</f>
        <v>0</v>
      </c>
      <c r="F51" s="318">
        <f t="shared" si="52"/>
        <v>0</v>
      </c>
      <c r="G51" s="319">
        <f t="shared" si="52"/>
        <v>0</v>
      </c>
      <c r="H51" s="317">
        <f t="shared" si="52"/>
        <v>0</v>
      </c>
      <c r="I51" s="318">
        <f t="shared" si="52"/>
        <v>0</v>
      </c>
      <c r="J51" s="319">
        <f t="shared" si="52"/>
        <v>0</v>
      </c>
      <c r="K51" s="317">
        <f t="shared" si="52"/>
        <v>0</v>
      </c>
      <c r="L51" s="318">
        <f t="shared" si="52"/>
        <v>0</v>
      </c>
      <c r="M51" s="319">
        <f t="shared" si="52"/>
        <v>0</v>
      </c>
      <c r="N51" s="317">
        <f t="shared" si="52"/>
        <v>0</v>
      </c>
      <c r="O51" s="318">
        <f t="shared" si="52"/>
        <v>0</v>
      </c>
      <c r="P51" s="319">
        <f t="shared" si="52"/>
        <v>0</v>
      </c>
      <c r="Q51" s="317">
        <f t="shared" si="52"/>
        <v>0</v>
      </c>
      <c r="R51" s="318">
        <f t="shared" si="52"/>
        <v>0</v>
      </c>
      <c r="S51" s="319">
        <f t="shared" si="52"/>
        <v>0</v>
      </c>
      <c r="T51" s="317">
        <f t="shared" si="52"/>
        <v>0</v>
      </c>
      <c r="U51" s="318">
        <f t="shared" si="52"/>
        <v>0</v>
      </c>
      <c r="V51" s="319">
        <f t="shared" si="52"/>
        <v>0</v>
      </c>
      <c r="W51" s="317">
        <f t="shared" si="52"/>
        <v>0</v>
      </c>
      <c r="X51" s="318">
        <f t="shared" si="52"/>
        <v>0</v>
      </c>
      <c r="Y51" s="319">
        <f t="shared" si="52"/>
        <v>0</v>
      </c>
      <c r="Z51" s="317">
        <f t="shared" si="52"/>
        <v>0</v>
      </c>
      <c r="AA51" s="326"/>
    </row>
    <row r="52" spans="1:27" s="55" customFormat="1" ht="30" hidden="1" customHeight="1">
      <c r="A52" s="452"/>
      <c r="B52" s="453"/>
      <c r="C52" s="451"/>
      <c r="D52" s="280" t="s">
        <v>48</v>
      </c>
      <c r="E52" s="321">
        <f t="shared" ref="E52:Z52" si="53">SUM(E9,E19,E23,E31,E44)</f>
        <v>135496981</v>
      </c>
      <c r="F52" s="322">
        <f t="shared" si="53"/>
        <v>-14498544</v>
      </c>
      <c r="G52" s="323">
        <f t="shared" si="53"/>
        <v>120998437</v>
      </c>
      <c r="H52" s="321">
        <f t="shared" si="53"/>
        <v>42144057</v>
      </c>
      <c r="I52" s="322">
        <f t="shared" si="53"/>
        <v>-3602</v>
      </c>
      <c r="J52" s="323">
        <f t="shared" si="53"/>
        <v>42140455</v>
      </c>
      <c r="K52" s="321">
        <f t="shared" si="53"/>
        <v>43516006</v>
      </c>
      <c r="L52" s="322">
        <f t="shared" si="53"/>
        <v>-1504440</v>
      </c>
      <c r="M52" s="323">
        <f t="shared" si="53"/>
        <v>42011566</v>
      </c>
      <c r="N52" s="321">
        <f t="shared" si="53"/>
        <v>34676200</v>
      </c>
      <c r="O52" s="322">
        <f t="shared" si="53"/>
        <v>-10601606</v>
      </c>
      <c r="P52" s="323">
        <f t="shared" si="53"/>
        <v>24074594</v>
      </c>
      <c r="Q52" s="321">
        <f t="shared" si="53"/>
        <v>0</v>
      </c>
      <c r="R52" s="322">
        <f t="shared" si="53"/>
        <v>0</v>
      </c>
      <c r="S52" s="323">
        <f t="shared" si="53"/>
        <v>0</v>
      </c>
      <c r="T52" s="321">
        <f t="shared" si="53"/>
        <v>120336263</v>
      </c>
      <c r="U52" s="322">
        <f t="shared" si="53"/>
        <v>-12109648</v>
      </c>
      <c r="V52" s="323">
        <f t="shared" si="53"/>
        <v>108226615</v>
      </c>
      <c r="W52" s="321">
        <f t="shared" si="53"/>
        <v>15160718</v>
      </c>
      <c r="X52" s="322">
        <f t="shared" si="53"/>
        <v>-2388896</v>
      </c>
      <c r="Y52" s="323">
        <f t="shared" si="53"/>
        <v>12771822</v>
      </c>
      <c r="Z52" s="321">
        <f t="shared" si="53"/>
        <v>120998437</v>
      </c>
      <c r="AA52" s="327"/>
    </row>
    <row r="53" spans="1:27" ht="30" customHeight="1">
      <c r="A53" s="452"/>
      <c r="B53" s="453"/>
      <c r="C53" s="451"/>
      <c r="D53" s="262" t="s">
        <v>453</v>
      </c>
      <c r="E53" s="257">
        <f>SUM(E54:E55)</f>
        <v>176189061</v>
      </c>
      <c r="F53" s="258">
        <f t="shared" ref="F53:Z53" si="54">SUM(F54:F55)</f>
        <v>-2722876</v>
      </c>
      <c r="G53" s="255">
        <f t="shared" si="54"/>
        <v>173466185</v>
      </c>
      <c r="H53" s="257">
        <f t="shared" si="54"/>
        <v>40656702</v>
      </c>
      <c r="I53" s="258">
        <f t="shared" si="54"/>
        <v>1280269</v>
      </c>
      <c r="J53" s="255">
        <f t="shared" si="54"/>
        <v>41936971</v>
      </c>
      <c r="K53" s="257">
        <f t="shared" si="54"/>
        <v>38146642</v>
      </c>
      <c r="L53" s="258">
        <f t="shared" si="54"/>
        <v>2252361</v>
      </c>
      <c r="M53" s="255">
        <f t="shared" si="54"/>
        <v>40399003</v>
      </c>
      <c r="N53" s="257">
        <f t="shared" si="54"/>
        <v>12286800</v>
      </c>
      <c r="O53" s="258">
        <f t="shared" si="54"/>
        <v>3799352</v>
      </c>
      <c r="P53" s="255">
        <f t="shared" si="54"/>
        <v>16086152</v>
      </c>
      <c r="Q53" s="257">
        <f t="shared" si="54"/>
        <v>0</v>
      </c>
      <c r="R53" s="258">
        <f t="shared" si="54"/>
        <v>0</v>
      </c>
      <c r="S53" s="255">
        <f t="shared" si="54"/>
        <v>0</v>
      </c>
      <c r="T53" s="257">
        <f t="shared" si="54"/>
        <v>91090144</v>
      </c>
      <c r="U53" s="258">
        <f t="shared" si="54"/>
        <v>7331982</v>
      </c>
      <c r="V53" s="255">
        <f t="shared" si="54"/>
        <v>98422126</v>
      </c>
      <c r="W53" s="257">
        <f t="shared" si="54"/>
        <v>83854519</v>
      </c>
      <c r="X53" s="258">
        <f t="shared" si="54"/>
        <v>-9772336</v>
      </c>
      <c r="Y53" s="255">
        <f t="shared" si="54"/>
        <v>74082183</v>
      </c>
      <c r="Z53" s="257">
        <f t="shared" si="54"/>
        <v>172504309</v>
      </c>
      <c r="AA53" s="328"/>
    </row>
    <row r="54" spans="1:27" s="320" customFormat="1" ht="30" hidden="1" customHeight="1">
      <c r="A54" s="452"/>
      <c r="B54" s="453"/>
      <c r="C54" s="451"/>
      <c r="D54" s="305" t="s">
        <v>458</v>
      </c>
      <c r="E54" s="317">
        <f t="shared" ref="E54:Z54" si="55">SUM(E37,E41)</f>
        <v>113132303</v>
      </c>
      <c r="F54" s="318">
        <f t="shared" si="55"/>
        <v>-9387709</v>
      </c>
      <c r="G54" s="319">
        <f t="shared" si="55"/>
        <v>103744594</v>
      </c>
      <c r="H54" s="317">
        <f t="shared" si="55"/>
        <v>25172724</v>
      </c>
      <c r="I54" s="318">
        <f t="shared" si="55"/>
        <v>63785</v>
      </c>
      <c r="J54" s="319">
        <f t="shared" si="55"/>
        <v>25236509</v>
      </c>
      <c r="K54" s="317">
        <f t="shared" si="55"/>
        <v>24794729</v>
      </c>
      <c r="L54" s="318">
        <f t="shared" si="55"/>
        <v>137073</v>
      </c>
      <c r="M54" s="319">
        <f t="shared" si="55"/>
        <v>24931802</v>
      </c>
      <c r="N54" s="317">
        <f t="shared" si="55"/>
        <v>2505000</v>
      </c>
      <c r="O54" s="318">
        <f t="shared" si="55"/>
        <v>0</v>
      </c>
      <c r="P54" s="319">
        <f t="shared" si="55"/>
        <v>2505000</v>
      </c>
      <c r="Q54" s="317">
        <f t="shared" si="55"/>
        <v>0</v>
      </c>
      <c r="R54" s="318">
        <f t="shared" si="55"/>
        <v>0</v>
      </c>
      <c r="S54" s="319">
        <f t="shared" si="55"/>
        <v>0</v>
      </c>
      <c r="T54" s="317">
        <f t="shared" si="55"/>
        <v>52472453</v>
      </c>
      <c r="U54" s="318">
        <f t="shared" si="55"/>
        <v>200858</v>
      </c>
      <c r="V54" s="319">
        <f t="shared" si="55"/>
        <v>52673311</v>
      </c>
      <c r="W54" s="317">
        <f t="shared" si="55"/>
        <v>59415452</v>
      </c>
      <c r="X54" s="318">
        <f t="shared" si="55"/>
        <v>-9306045</v>
      </c>
      <c r="Y54" s="319">
        <f t="shared" si="55"/>
        <v>50109407</v>
      </c>
      <c r="Z54" s="329">
        <f t="shared" si="55"/>
        <v>102782718</v>
      </c>
      <c r="AA54" s="330"/>
    </row>
    <row r="55" spans="1:27" s="55" customFormat="1" ht="30" hidden="1" customHeight="1">
      <c r="A55" s="452"/>
      <c r="B55" s="453"/>
      <c r="C55" s="451"/>
      <c r="D55" s="280" t="s">
        <v>48</v>
      </c>
      <c r="E55" s="321">
        <f t="shared" ref="E55:Z55" si="56">SUM(E10,E20,E38,E42,E45)</f>
        <v>63056758</v>
      </c>
      <c r="F55" s="322">
        <f t="shared" si="56"/>
        <v>6664833</v>
      </c>
      <c r="G55" s="323">
        <f t="shared" si="56"/>
        <v>69721591</v>
      </c>
      <c r="H55" s="321">
        <f t="shared" si="56"/>
        <v>15483978</v>
      </c>
      <c r="I55" s="322">
        <f t="shared" si="56"/>
        <v>1216484</v>
      </c>
      <c r="J55" s="323">
        <f t="shared" si="56"/>
        <v>16700462</v>
      </c>
      <c r="K55" s="321">
        <f t="shared" si="56"/>
        <v>13351913</v>
      </c>
      <c r="L55" s="322">
        <f t="shared" si="56"/>
        <v>2115288</v>
      </c>
      <c r="M55" s="323">
        <f t="shared" si="56"/>
        <v>15467201</v>
      </c>
      <c r="N55" s="321">
        <f t="shared" si="56"/>
        <v>9781800</v>
      </c>
      <c r="O55" s="322">
        <f t="shared" si="56"/>
        <v>3799352</v>
      </c>
      <c r="P55" s="323">
        <f t="shared" si="56"/>
        <v>13581152</v>
      </c>
      <c r="Q55" s="321">
        <f t="shared" si="56"/>
        <v>0</v>
      </c>
      <c r="R55" s="322">
        <f t="shared" si="56"/>
        <v>0</v>
      </c>
      <c r="S55" s="323">
        <f t="shared" si="56"/>
        <v>0</v>
      </c>
      <c r="T55" s="321">
        <f t="shared" si="56"/>
        <v>38617691</v>
      </c>
      <c r="U55" s="322">
        <f t="shared" si="56"/>
        <v>7131124</v>
      </c>
      <c r="V55" s="323">
        <f t="shared" si="56"/>
        <v>45748815</v>
      </c>
      <c r="W55" s="321">
        <f t="shared" si="56"/>
        <v>24439067</v>
      </c>
      <c r="X55" s="322">
        <f t="shared" si="56"/>
        <v>-466291</v>
      </c>
      <c r="Y55" s="323">
        <f t="shared" si="56"/>
        <v>23972776</v>
      </c>
      <c r="Z55" s="331">
        <f t="shared" si="56"/>
        <v>69721591</v>
      </c>
      <c r="AA55" s="332"/>
    </row>
    <row r="56" spans="1:27" ht="30" customHeight="1" thickBot="1">
      <c r="A56" s="454"/>
      <c r="B56" s="455"/>
      <c r="C56" s="456"/>
      <c r="D56" s="333" t="s">
        <v>454</v>
      </c>
      <c r="E56" s="334">
        <f>SUM(E47,E50,E53)</f>
        <v>586434251</v>
      </c>
      <c r="F56" s="335">
        <f t="shared" ref="F56:Z56" si="57">SUM(F47,F50,F53)</f>
        <v>-6568473</v>
      </c>
      <c r="G56" s="336">
        <f t="shared" si="57"/>
        <v>579865778</v>
      </c>
      <c r="H56" s="334">
        <f t="shared" si="57"/>
        <v>200092853</v>
      </c>
      <c r="I56" s="335">
        <f t="shared" si="57"/>
        <v>4386528</v>
      </c>
      <c r="J56" s="336">
        <f t="shared" si="57"/>
        <v>204479381</v>
      </c>
      <c r="K56" s="337">
        <f t="shared" si="57"/>
        <v>200867378</v>
      </c>
      <c r="L56" s="338">
        <f t="shared" si="57"/>
        <v>-235666</v>
      </c>
      <c r="M56" s="339">
        <f t="shared" si="57"/>
        <v>200631712</v>
      </c>
      <c r="N56" s="334">
        <f t="shared" si="57"/>
        <v>56963000</v>
      </c>
      <c r="O56" s="335">
        <f t="shared" si="57"/>
        <v>4727410</v>
      </c>
      <c r="P56" s="336">
        <f t="shared" si="57"/>
        <v>61690410</v>
      </c>
      <c r="Q56" s="334">
        <f t="shared" si="57"/>
        <v>0</v>
      </c>
      <c r="R56" s="335">
        <f t="shared" si="57"/>
        <v>0</v>
      </c>
      <c r="S56" s="336">
        <f t="shared" si="57"/>
        <v>0</v>
      </c>
      <c r="T56" s="334">
        <f t="shared" si="57"/>
        <v>457923231</v>
      </c>
      <c r="U56" s="335">
        <f t="shared" si="57"/>
        <v>8878272</v>
      </c>
      <c r="V56" s="336">
        <f t="shared" si="57"/>
        <v>466801503</v>
      </c>
      <c r="W56" s="334">
        <f t="shared" si="57"/>
        <v>128511020</v>
      </c>
      <c r="X56" s="335">
        <f t="shared" si="57"/>
        <v>-15446745</v>
      </c>
      <c r="Y56" s="336">
        <f t="shared" si="57"/>
        <v>113064275</v>
      </c>
      <c r="Z56" s="337">
        <f t="shared" si="57"/>
        <v>579865778</v>
      </c>
      <c r="AA56" s="340"/>
    </row>
    <row r="57" spans="1:27">
      <c r="E57" s="140"/>
      <c r="F57" s="140"/>
      <c r="G57" s="140"/>
    </row>
    <row r="58" spans="1:27">
      <c r="E58" s="143">
        <f>SUM(E11,E13,E15,E17,E21,E24,E26,E28,E30,E32,E39,E43,E46)</f>
        <v>586434251</v>
      </c>
      <c r="F58" s="143">
        <f t="shared" ref="F58:Z58" si="58">SUM(F11,F13,F15,F17,F21,F24,F26,F28,F30,F32,F39,F43,F46)</f>
        <v>-6568473</v>
      </c>
      <c r="G58" s="143">
        <f t="shared" si="58"/>
        <v>579865778</v>
      </c>
      <c r="H58" s="143">
        <f t="shared" si="58"/>
        <v>200092853</v>
      </c>
      <c r="I58" s="143">
        <f t="shared" si="58"/>
        <v>4386528</v>
      </c>
      <c r="J58" s="143">
        <f t="shared" si="58"/>
        <v>204479381</v>
      </c>
      <c r="K58" s="143">
        <f t="shared" si="58"/>
        <v>200867378</v>
      </c>
      <c r="L58" s="143">
        <f t="shared" si="58"/>
        <v>-235666</v>
      </c>
      <c r="M58" s="143">
        <f t="shared" si="58"/>
        <v>200631712</v>
      </c>
      <c r="N58" s="143">
        <f t="shared" si="58"/>
        <v>56963000</v>
      </c>
      <c r="O58" s="143">
        <f t="shared" si="58"/>
        <v>4727410</v>
      </c>
      <c r="P58" s="143">
        <f t="shared" si="58"/>
        <v>61690410</v>
      </c>
      <c r="Q58" s="143">
        <f t="shared" si="58"/>
        <v>0</v>
      </c>
      <c r="R58" s="143">
        <f t="shared" si="58"/>
        <v>0</v>
      </c>
      <c r="S58" s="143">
        <f t="shared" si="58"/>
        <v>0</v>
      </c>
      <c r="T58" s="143">
        <f t="shared" si="58"/>
        <v>457923231</v>
      </c>
      <c r="U58" s="143">
        <f t="shared" si="58"/>
        <v>8878272</v>
      </c>
      <c r="V58" s="143">
        <f t="shared" si="58"/>
        <v>466801503</v>
      </c>
      <c r="W58" s="143">
        <f t="shared" si="58"/>
        <v>128511020</v>
      </c>
      <c r="X58" s="143">
        <f t="shared" si="58"/>
        <v>-15446745</v>
      </c>
      <c r="Y58" s="143">
        <f t="shared" si="58"/>
        <v>113064275</v>
      </c>
      <c r="Z58" s="143">
        <f t="shared" si="58"/>
        <v>579865778</v>
      </c>
    </row>
    <row r="59" spans="1:27">
      <c r="E59" s="38">
        <f>E8+E18+E22+E33</f>
        <v>274748209</v>
      </c>
    </row>
    <row r="60" spans="1:27">
      <c r="E60" s="38">
        <f>E9+E16+E12+E14+E19+E23+E25+E27+E29+E31+E44</f>
        <v>135496981</v>
      </c>
    </row>
    <row r="61" spans="1:27">
      <c r="E61" s="38">
        <f>E10+E20+E36+E40+E45</f>
        <v>176189061</v>
      </c>
      <c r="F61" s="38"/>
      <c r="G61" s="38"/>
      <c r="H61" s="38"/>
    </row>
  </sheetData>
  <mergeCells count="78">
    <mergeCell ref="A47:C56"/>
    <mergeCell ref="AA47:AA50"/>
    <mergeCell ref="A40:A43"/>
    <mergeCell ref="B40:B43"/>
    <mergeCell ref="C40:C43"/>
    <mergeCell ref="AA40:AA43"/>
    <mergeCell ref="A44:A46"/>
    <mergeCell ref="B44:B46"/>
    <mergeCell ref="C44:C46"/>
    <mergeCell ref="AA44:AA46"/>
    <mergeCell ref="A31:A32"/>
    <mergeCell ref="B31:B32"/>
    <mergeCell ref="C31:C32"/>
    <mergeCell ref="AA31:AA32"/>
    <mergeCell ref="A33:A39"/>
    <mergeCell ref="B33:B39"/>
    <mergeCell ref="C33:C39"/>
    <mergeCell ref="AA33:AA39"/>
    <mergeCell ref="A27:A28"/>
    <mergeCell ref="B27:B28"/>
    <mergeCell ref="C27:C28"/>
    <mergeCell ref="AA27:AA28"/>
    <mergeCell ref="A29:A30"/>
    <mergeCell ref="B29:B30"/>
    <mergeCell ref="C29:C30"/>
    <mergeCell ref="AA29:AA30"/>
    <mergeCell ref="A22:A24"/>
    <mergeCell ref="B22:B24"/>
    <mergeCell ref="C22:C24"/>
    <mergeCell ref="AA23:AA24"/>
    <mergeCell ref="A25:A26"/>
    <mergeCell ref="B25:B26"/>
    <mergeCell ref="C25:C26"/>
    <mergeCell ref="AA25:AA26"/>
    <mergeCell ref="A16:A17"/>
    <mergeCell ref="B16:B17"/>
    <mergeCell ref="C16:C17"/>
    <mergeCell ref="AA16:AA17"/>
    <mergeCell ref="A18:A21"/>
    <mergeCell ref="B18:B21"/>
    <mergeCell ref="C18:C21"/>
    <mergeCell ref="AA18:AA21"/>
    <mergeCell ref="A12:A13"/>
    <mergeCell ref="B12:B13"/>
    <mergeCell ref="C12:C13"/>
    <mergeCell ref="AA12:AA13"/>
    <mergeCell ref="A14:A15"/>
    <mergeCell ref="B14:B15"/>
    <mergeCell ref="C14:C15"/>
    <mergeCell ref="AA14:AA15"/>
    <mergeCell ref="A8:A11"/>
    <mergeCell ref="B8:B11"/>
    <mergeCell ref="C8:C11"/>
    <mergeCell ref="AA8:AA11"/>
    <mergeCell ref="H6:J6"/>
    <mergeCell ref="K6:M6"/>
    <mergeCell ref="N6:P6"/>
    <mergeCell ref="Q6:S6"/>
    <mergeCell ref="T6:V6"/>
    <mergeCell ref="A6:A7"/>
    <mergeCell ref="B6:B7"/>
    <mergeCell ref="C6:C7"/>
    <mergeCell ref="D6:D7"/>
    <mergeCell ref="E6:G6"/>
    <mergeCell ref="W6:Y6"/>
    <mergeCell ref="Z6:Z7"/>
    <mergeCell ref="AA6:AA7"/>
    <mergeCell ref="A1:AA1"/>
    <mergeCell ref="T2:Y2"/>
    <mergeCell ref="B3:Z3"/>
    <mergeCell ref="V4:Z4"/>
    <mergeCell ref="E5:G5"/>
    <mergeCell ref="H5:J5"/>
    <mergeCell ref="K5:M5"/>
    <mergeCell ref="N5:P5"/>
    <mergeCell ref="Q5:S5"/>
    <mergeCell ref="T5:V5"/>
    <mergeCell ref="W5:Y5"/>
  </mergeCells>
  <printOptions horizontalCentered="1"/>
  <pageMargins left="0" right="0" top="0" bottom="0" header="0.31496062992125984" footer="0.31496062992125984"/>
  <pageSetup paperSize="8" scale="53" orientation="landscape" verticalDpi="597" r:id="rId1"/>
  <rowBreaks count="1" manualBreakCount="1">
    <brk id="56" max="25" man="1"/>
  </rowBreaks>
  <colBreaks count="1" manualBreakCount="1">
    <brk id="26" max="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X392"/>
  <sheetViews>
    <sheetView view="pageBreakPreview" topLeftCell="H1" zoomScaleNormal="100" zoomScaleSheetLayoutView="100" workbookViewId="0">
      <pane ySplit="3" topLeftCell="A301" activePane="bottomLeft" state="frozen"/>
      <selection pane="bottomLeft" activeCell="C326" sqref="C326"/>
    </sheetView>
  </sheetViews>
  <sheetFormatPr defaultRowHeight="14.25"/>
  <cols>
    <col min="1" max="1" width="3.25" style="1" bestFit="1" customWidth="1"/>
    <col min="2" max="2" width="27.125" style="67" customWidth="1"/>
    <col min="3" max="3" width="24.75" style="67" customWidth="1"/>
    <col min="4" max="4" width="17.25" style="1" customWidth="1"/>
    <col min="5" max="5" width="3.75" style="1" customWidth="1"/>
    <col min="6" max="6" width="3.875" style="1" customWidth="1"/>
    <col min="7" max="7" width="10.5" style="1" customWidth="1"/>
    <col min="8" max="8" width="13.25" style="1" customWidth="1"/>
    <col min="9" max="9" width="12.625" style="1" bestFit="1" customWidth="1"/>
    <col min="10" max="10" width="11.75" style="1" bestFit="1" customWidth="1"/>
    <col min="11" max="11" width="12" style="1" bestFit="1" customWidth="1"/>
    <col min="12" max="12" width="10.875" style="1" bestFit="1" customWidth="1"/>
    <col min="13" max="13" width="10.5" style="1" customWidth="1"/>
    <col min="14" max="14" width="10.875" style="1" bestFit="1" customWidth="1"/>
    <col min="15" max="15" width="10.5" style="1" customWidth="1"/>
    <col min="16" max="16" width="9.625" style="1" customWidth="1"/>
    <col min="17" max="17" width="10.875" style="1" customWidth="1"/>
    <col min="18" max="18" width="9.625" style="1" customWidth="1"/>
    <col min="19" max="20" width="8.375" style="1" customWidth="1"/>
    <col min="21" max="21" width="9.5" style="1" bestFit="1" customWidth="1"/>
    <col min="22" max="22" width="11.25" style="1" customWidth="1"/>
    <col min="23" max="23" width="12.625" style="1" bestFit="1" customWidth="1"/>
    <col min="24" max="24" width="11.125" style="1" bestFit="1" customWidth="1"/>
    <col min="25" max="16384" width="9" style="1"/>
  </cols>
  <sheetData>
    <row r="1" spans="1:24" ht="65.25" customHeight="1" thickBot="1">
      <c r="O1" s="69"/>
      <c r="P1" s="365" t="s">
        <v>356</v>
      </c>
      <c r="Q1" s="365"/>
      <c r="R1" s="365"/>
      <c r="S1" s="365"/>
      <c r="T1" s="365"/>
      <c r="U1" s="69"/>
      <c r="V1" s="69"/>
    </row>
    <row r="2" spans="1:24" ht="30.75" customHeight="1" thickBot="1">
      <c r="A2" s="366" t="s">
        <v>183</v>
      </c>
      <c r="B2" s="366" t="s">
        <v>184</v>
      </c>
      <c r="C2" s="366" t="s">
        <v>185</v>
      </c>
      <c r="D2" s="458" t="s">
        <v>186</v>
      </c>
      <c r="E2" s="459" t="s">
        <v>187</v>
      </c>
      <c r="F2" s="460"/>
      <c r="G2" s="371" t="s">
        <v>357</v>
      </c>
      <c r="H2" s="371" t="s">
        <v>188</v>
      </c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4"/>
      <c r="V2" s="381" t="s">
        <v>189</v>
      </c>
    </row>
    <row r="3" spans="1:24" ht="24" customHeight="1" thickBot="1">
      <c r="A3" s="367"/>
      <c r="B3" s="367"/>
      <c r="C3" s="367"/>
      <c r="D3" s="458"/>
      <c r="E3" s="461"/>
      <c r="F3" s="462"/>
      <c r="G3" s="372"/>
      <c r="H3" s="372"/>
      <c r="I3" s="72">
        <v>2013</v>
      </c>
      <c r="J3" s="73">
        <v>2014</v>
      </c>
      <c r="K3" s="72">
        <v>2015</v>
      </c>
      <c r="L3" s="72">
        <v>2016</v>
      </c>
      <c r="M3" s="72">
        <v>2017</v>
      </c>
      <c r="N3" s="72">
        <v>2018</v>
      </c>
      <c r="O3" s="72">
        <v>2019</v>
      </c>
      <c r="P3" s="72">
        <v>2020</v>
      </c>
      <c r="Q3" s="72">
        <v>2021</v>
      </c>
      <c r="R3" s="72">
        <v>2022</v>
      </c>
      <c r="S3" s="72">
        <v>2023</v>
      </c>
      <c r="T3" s="72">
        <v>2024</v>
      </c>
      <c r="U3" s="72">
        <v>2025</v>
      </c>
      <c r="V3" s="381"/>
    </row>
    <row r="4" spans="1:24" ht="15">
      <c r="A4" s="109"/>
      <c r="B4" s="110"/>
      <c r="C4" s="110"/>
      <c r="D4" s="109"/>
      <c r="E4" s="473"/>
      <c r="F4" s="474"/>
      <c r="G4" s="145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</row>
    <row r="5" spans="1:24" s="148" customFormat="1" ht="15" customHeight="1">
      <c r="A5" s="475" t="s">
        <v>358</v>
      </c>
      <c r="B5" s="476"/>
      <c r="C5" s="476"/>
      <c r="D5" s="476"/>
      <c r="E5" s="476"/>
      <c r="F5" s="476"/>
      <c r="G5" s="477"/>
      <c r="H5" s="146">
        <f>SUM(H6:H7)</f>
        <v>2484664391</v>
      </c>
      <c r="I5" s="146">
        <f t="shared" ref="I5:U5" si="0">SUM(I6:I7)</f>
        <v>842661913</v>
      </c>
      <c r="J5" s="146">
        <f t="shared" si="0"/>
        <v>823324143</v>
      </c>
      <c r="K5" s="146">
        <f t="shared" si="0"/>
        <v>257229070</v>
      </c>
      <c r="L5" s="146">
        <f t="shared" si="0"/>
        <v>22696473</v>
      </c>
      <c r="M5" s="146">
        <f t="shared" si="0"/>
        <v>18279708</v>
      </c>
      <c r="N5" s="146">
        <f t="shared" si="0"/>
        <v>18640922</v>
      </c>
      <c r="O5" s="146">
        <f t="shared" si="0"/>
        <v>6048413</v>
      </c>
      <c r="P5" s="146">
        <f t="shared" si="0"/>
        <v>5820597</v>
      </c>
      <c r="Q5" s="146">
        <f t="shared" si="0"/>
        <v>200000</v>
      </c>
      <c r="R5" s="146">
        <f t="shared" si="0"/>
        <v>200000</v>
      </c>
      <c r="S5" s="146">
        <f t="shared" si="0"/>
        <v>200000</v>
      </c>
      <c r="T5" s="146">
        <f t="shared" si="0"/>
        <v>200000</v>
      </c>
      <c r="U5" s="146">
        <f t="shared" si="0"/>
        <v>200000</v>
      </c>
      <c r="V5" s="147">
        <f>SUM(V9,V201,V205)</f>
        <v>955904176</v>
      </c>
    </row>
    <row r="6" spans="1:24" s="148" customFormat="1" ht="15">
      <c r="A6" s="478" t="s">
        <v>194</v>
      </c>
      <c r="B6" s="479"/>
      <c r="C6" s="480"/>
      <c r="D6" s="149"/>
      <c r="E6" s="481"/>
      <c r="F6" s="482"/>
      <c r="G6" s="150"/>
      <c r="H6" s="146">
        <f t="shared" ref="H6:U7" si="1">SUM(H10,H202,H206)</f>
        <v>561830541</v>
      </c>
      <c r="I6" s="146">
        <f t="shared" si="1"/>
        <v>133253291</v>
      </c>
      <c r="J6" s="146">
        <f t="shared" si="1"/>
        <v>119614902</v>
      </c>
      <c r="K6" s="146">
        <f t="shared" si="1"/>
        <v>50197979</v>
      </c>
      <c r="L6" s="146">
        <f t="shared" si="1"/>
        <v>9696473</v>
      </c>
      <c r="M6" s="146">
        <f t="shared" si="1"/>
        <v>5279708</v>
      </c>
      <c r="N6" s="146">
        <f t="shared" si="1"/>
        <v>3640922</v>
      </c>
      <c r="O6" s="146">
        <f t="shared" si="1"/>
        <v>3221814</v>
      </c>
      <c r="P6" s="146">
        <f t="shared" si="1"/>
        <v>2993998</v>
      </c>
      <c r="Q6" s="146">
        <f t="shared" si="1"/>
        <v>200000</v>
      </c>
      <c r="R6" s="146">
        <f t="shared" si="1"/>
        <v>200000</v>
      </c>
      <c r="S6" s="146">
        <f t="shared" si="1"/>
        <v>200000</v>
      </c>
      <c r="T6" s="146">
        <f t="shared" si="1"/>
        <v>200000</v>
      </c>
      <c r="U6" s="146">
        <f t="shared" si="1"/>
        <v>200000</v>
      </c>
      <c r="V6" s="146"/>
    </row>
    <row r="7" spans="1:24" s="148" customFormat="1" ht="15">
      <c r="A7" s="478" t="s">
        <v>196</v>
      </c>
      <c r="B7" s="479"/>
      <c r="C7" s="480"/>
      <c r="D7" s="149"/>
      <c r="E7" s="481"/>
      <c r="F7" s="482"/>
      <c r="G7" s="150"/>
      <c r="H7" s="146">
        <f t="shared" si="1"/>
        <v>1922833850</v>
      </c>
      <c r="I7" s="146">
        <f t="shared" si="1"/>
        <v>709408622</v>
      </c>
      <c r="J7" s="146">
        <f t="shared" si="1"/>
        <v>703709241</v>
      </c>
      <c r="K7" s="146">
        <f t="shared" si="1"/>
        <v>207031091</v>
      </c>
      <c r="L7" s="146">
        <f t="shared" si="1"/>
        <v>13000000</v>
      </c>
      <c r="M7" s="146">
        <f t="shared" si="1"/>
        <v>13000000</v>
      </c>
      <c r="N7" s="146">
        <f t="shared" si="1"/>
        <v>15000000</v>
      </c>
      <c r="O7" s="146">
        <f t="shared" si="1"/>
        <v>2826599</v>
      </c>
      <c r="P7" s="146">
        <f t="shared" si="1"/>
        <v>2826599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  <c r="U7" s="146">
        <f t="shared" si="1"/>
        <v>0</v>
      </c>
      <c r="V7" s="146"/>
    </row>
    <row r="8" spans="1:24" s="133" customFormat="1" ht="15">
      <c r="A8" s="151"/>
      <c r="B8" s="152"/>
      <c r="C8" s="152"/>
      <c r="D8" s="151"/>
      <c r="E8" s="463"/>
      <c r="F8" s="464"/>
      <c r="G8" s="153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</row>
    <row r="9" spans="1:24" s="157" customFormat="1" ht="29.25" customHeight="1">
      <c r="A9" s="465" t="s">
        <v>359</v>
      </c>
      <c r="B9" s="466"/>
      <c r="C9" s="466"/>
      <c r="D9" s="466"/>
      <c r="E9" s="466"/>
      <c r="F9" s="466"/>
      <c r="G9" s="467"/>
      <c r="H9" s="155">
        <f>SUM(H10:H11)</f>
        <v>1914906789</v>
      </c>
      <c r="I9" s="155">
        <f t="shared" ref="I9:U9" si="2">SUM(I10:I11)</f>
        <v>722463048</v>
      </c>
      <c r="J9" s="155">
        <f t="shared" si="2"/>
        <v>735079425</v>
      </c>
      <c r="K9" s="155">
        <f t="shared" si="2"/>
        <v>218351022</v>
      </c>
      <c r="L9" s="155">
        <f t="shared" si="2"/>
        <v>2709303</v>
      </c>
      <c r="M9" s="155">
        <f t="shared" si="2"/>
        <v>2020519</v>
      </c>
      <c r="N9" s="155">
        <f t="shared" si="2"/>
        <v>1765431</v>
      </c>
      <c r="O9" s="155">
        <f t="shared" si="2"/>
        <v>4172922</v>
      </c>
      <c r="P9" s="155">
        <f t="shared" si="2"/>
        <v>3945106</v>
      </c>
      <c r="Q9" s="155">
        <f t="shared" si="2"/>
        <v>0</v>
      </c>
      <c r="R9" s="155">
        <f t="shared" si="2"/>
        <v>0</v>
      </c>
      <c r="S9" s="155">
        <f t="shared" si="2"/>
        <v>0</v>
      </c>
      <c r="T9" s="155">
        <f t="shared" si="2"/>
        <v>0</v>
      </c>
      <c r="U9" s="155">
        <f t="shared" si="2"/>
        <v>0</v>
      </c>
      <c r="V9" s="156">
        <f>SUM(V12,V37,V42,V47,V212,V17,V22,V27,V32,V66,V72,V80,V88,V94,V100,V106,V111,V117,V123,V130,V136,V143,V155,V161,V166,V171,V181,V188,V176)</f>
        <v>879735153</v>
      </c>
      <c r="X9" s="158"/>
    </row>
    <row r="10" spans="1:24" s="157" customFormat="1" ht="15">
      <c r="A10" s="468" t="s">
        <v>194</v>
      </c>
      <c r="B10" s="469"/>
      <c r="C10" s="470"/>
      <c r="D10" s="159"/>
      <c r="E10" s="471"/>
      <c r="F10" s="472"/>
      <c r="G10" s="160"/>
      <c r="H10" s="155">
        <f>SUM(H38,H43,H48,H67,H73,H81,H89,H95,H101,H107,H112,H124,H131,H137,H144,H156,H172,H189,H162,H118,H182,H167,H13,H18,H23,H33,H28,H177,H53,H60,H151,H196)</f>
        <v>333370843</v>
      </c>
      <c r="I10" s="155">
        <f t="shared" ref="I10:U10" si="3">SUM(I38,I43,I48,I67,I73,I81,I89,I95,I101,I107,I112,I124,I131,I137,I144,I156,I172,I189,I162,I118,I182,I167,I13,I18,I23,I33,I28,I177,I53,I60,I151,I196)</f>
        <v>80738321</v>
      </c>
      <c r="J10" s="155">
        <f t="shared" si="3"/>
        <v>75591391</v>
      </c>
      <c r="K10" s="155">
        <f t="shared" si="3"/>
        <v>32864919</v>
      </c>
      <c r="L10" s="155">
        <f t="shared" si="3"/>
        <v>2709303</v>
      </c>
      <c r="M10" s="155">
        <f t="shared" si="3"/>
        <v>2020519</v>
      </c>
      <c r="N10" s="155">
        <f t="shared" si="3"/>
        <v>1765431</v>
      </c>
      <c r="O10" s="155">
        <f t="shared" si="3"/>
        <v>1346323</v>
      </c>
      <c r="P10" s="155">
        <f t="shared" si="3"/>
        <v>1118507</v>
      </c>
      <c r="Q10" s="155">
        <f t="shared" si="3"/>
        <v>0</v>
      </c>
      <c r="R10" s="155">
        <f t="shared" si="3"/>
        <v>0</v>
      </c>
      <c r="S10" s="155">
        <f t="shared" si="3"/>
        <v>0</v>
      </c>
      <c r="T10" s="155">
        <f t="shared" si="3"/>
        <v>0</v>
      </c>
      <c r="U10" s="155">
        <f t="shared" si="3"/>
        <v>0</v>
      </c>
      <c r="V10" s="155"/>
    </row>
    <row r="11" spans="1:24" s="157" customFormat="1" ht="15">
      <c r="A11" s="468" t="s">
        <v>196</v>
      </c>
      <c r="B11" s="469"/>
      <c r="C11" s="470"/>
      <c r="D11" s="159"/>
      <c r="E11" s="471"/>
      <c r="F11" s="472"/>
      <c r="G11" s="160"/>
      <c r="H11" s="155">
        <f>SUM(,H14,H19,H24,H29,H34,H39,H44,H49,H71,H76,H83,H90,H96,H102,H108,H113,H126,H133,H139,H147,H157,H174,H192,H119,H185,H170,H180,H56,H63,H153,H199)</f>
        <v>1581535946</v>
      </c>
      <c r="I11" s="155">
        <f t="shared" ref="I11:U11" si="4">SUM(,I14,I19,I24,I29,I34,I39,I44,I49,I71,I76,I83,I90,I96,I102,I108,I113,I126,I133,I139,I147,I157,I174,I192,I119,I185,I170,I180,I56,I63,I153,I199)</f>
        <v>641724727</v>
      </c>
      <c r="J11" s="155">
        <f t="shared" si="4"/>
        <v>659488034</v>
      </c>
      <c r="K11" s="155">
        <f t="shared" si="4"/>
        <v>185486103</v>
      </c>
      <c r="L11" s="155">
        <f t="shared" si="4"/>
        <v>0</v>
      </c>
      <c r="M11" s="155">
        <f t="shared" si="4"/>
        <v>0</v>
      </c>
      <c r="N11" s="155">
        <f t="shared" si="4"/>
        <v>0</v>
      </c>
      <c r="O11" s="155">
        <f t="shared" si="4"/>
        <v>2826599</v>
      </c>
      <c r="P11" s="155">
        <f t="shared" si="4"/>
        <v>2826599</v>
      </c>
      <c r="Q11" s="155">
        <f t="shared" si="4"/>
        <v>0</v>
      </c>
      <c r="R11" s="155">
        <f t="shared" si="4"/>
        <v>0</v>
      </c>
      <c r="S11" s="155">
        <f t="shared" si="4"/>
        <v>0</v>
      </c>
      <c r="T11" s="155">
        <f t="shared" si="4"/>
        <v>0</v>
      </c>
      <c r="U11" s="155">
        <f t="shared" si="4"/>
        <v>0</v>
      </c>
      <c r="V11" s="155"/>
      <c r="W11" s="158"/>
      <c r="X11" s="158"/>
    </row>
    <row r="12" spans="1:24" s="8" customFormat="1" ht="135">
      <c r="A12" s="102">
        <v>1</v>
      </c>
      <c r="B12" s="96" t="s">
        <v>253</v>
      </c>
      <c r="C12" s="96" t="s">
        <v>254</v>
      </c>
      <c r="D12" s="500" t="s">
        <v>255</v>
      </c>
      <c r="E12" s="486" t="s">
        <v>360</v>
      </c>
      <c r="F12" s="487"/>
      <c r="G12" s="492" t="s">
        <v>361</v>
      </c>
      <c r="H12" s="103">
        <f>SUM(H13:H14)</f>
        <v>1600000</v>
      </c>
      <c r="I12" s="103">
        <f t="shared" ref="I12:J12" si="5">SUM(I13:I14)</f>
        <v>800000</v>
      </c>
      <c r="J12" s="103">
        <f t="shared" si="5"/>
        <v>800000</v>
      </c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>
        <v>800000</v>
      </c>
    </row>
    <row r="13" spans="1:24" s="8" customFormat="1" ht="15">
      <c r="A13" s="495" t="s">
        <v>194</v>
      </c>
      <c r="B13" s="496"/>
      <c r="C13" s="497"/>
      <c r="D13" s="501"/>
      <c r="E13" s="488"/>
      <c r="F13" s="489"/>
      <c r="G13" s="493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61">
        <f>SUM(,V66,V73,V124,V130,V136,V143,V161,V166,V171,V182,V189,V176)</f>
        <v>5842400</v>
      </c>
    </row>
    <row r="14" spans="1:24" s="8" customFormat="1" ht="15">
      <c r="A14" s="495" t="s">
        <v>362</v>
      </c>
      <c r="B14" s="496"/>
      <c r="C14" s="497"/>
      <c r="D14" s="501"/>
      <c r="E14" s="488"/>
      <c r="F14" s="489"/>
      <c r="G14" s="493"/>
      <c r="H14" s="100">
        <f>SUM(H15:H16)</f>
        <v>1600000</v>
      </c>
      <c r="I14" s="100">
        <f t="shared" ref="I14:J14" si="6">SUM(I15:I16)</f>
        <v>800000</v>
      </c>
      <c r="J14" s="100">
        <f t="shared" si="6"/>
        <v>800000</v>
      </c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91"/>
      <c r="W14" s="161">
        <f>SUM(V12,V17,V22,V27,V32,V37,V42,V47,V76,V80,V88,V94,V100,V106,V111,V117,V126,V155,V185,V192)</f>
        <v>555967849</v>
      </c>
    </row>
    <row r="15" spans="1:24" s="8" customFormat="1" ht="15">
      <c r="A15" s="132"/>
      <c r="B15" s="498" t="s">
        <v>363</v>
      </c>
      <c r="C15" s="499"/>
      <c r="D15" s="501"/>
      <c r="E15" s="488"/>
      <c r="F15" s="489"/>
      <c r="G15" s="493"/>
      <c r="H15" s="100">
        <v>1170000</v>
      </c>
      <c r="I15" s="100">
        <v>585000</v>
      </c>
      <c r="J15" s="100">
        <v>585000</v>
      </c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</row>
    <row r="16" spans="1:24" s="8" customFormat="1" ht="15">
      <c r="A16" s="132"/>
      <c r="B16" s="498" t="s">
        <v>364</v>
      </c>
      <c r="C16" s="499"/>
      <c r="D16" s="502"/>
      <c r="E16" s="490"/>
      <c r="F16" s="491"/>
      <c r="G16" s="494"/>
      <c r="H16" s="100">
        <v>430000</v>
      </c>
      <c r="I16" s="162">
        <v>215000</v>
      </c>
      <c r="J16" s="163">
        <v>215000</v>
      </c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</row>
    <row r="17" spans="1:22" s="8" customFormat="1" ht="180">
      <c r="A17" s="88">
        <v>2</v>
      </c>
      <c r="B17" s="88" t="s">
        <v>257</v>
      </c>
      <c r="C17" s="88" t="s">
        <v>258</v>
      </c>
      <c r="D17" s="483" t="s">
        <v>259</v>
      </c>
      <c r="E17" s="486" t="s">
        <v>365</v>
      </c>
      <c r="F17" s="487"/>
      <c r="G17" s="492" t="s">
        <v>366</v>
      </c>
      <c r="H17" s="93">
        <f>SUM(H18:H19)</f>
        <v>17340000</v>
      </c>
      <c r="I17" s="93">
        <f t="shared" ref="I17:K17" si="7">SUM(I18:I19)</f>
        <v>7340000</v>
      </c>
      <c r="J17" s="93">
        <f t="shared" si="7"/>
        <v>5000000</v>
      </c>
      <c r="K17" s="93">
        <f t="shared" si="7"/>
        <v>5000000</v>
      </c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>
        <v>10000000</v>
      </c>
    </row>
    <row r="18" spans="1:22" s="8" customFormat="1" ht="15" customHeight="1">
      <c r="A18" s="495" t="s">
        <v>194</v>
      </c>
      <c r="B18" s="496"/>
      <c r="C18" s="497"/>
      <c r="D18" s="484"/>
      <c r="E18" s="488"/>
      <c r="F18" s="489"/>
      <c r="G18" s="493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</row>
    <row r="19" spans="1:22" s="8" customFormat="1" ht="15">
      <c r="A19" s="495" t="s">
        <v>362</v>
      </c>
      <c r="B19" s="496"/>
      <c r="C19" s="497"/>
      <c r="D19" s="484"/>
      <c r="E19" s="488"/>
      <c r="F19" s="489"/>
      <c r="G19" s="493"/>
      <c r="H19" s="100">
        <f>SUM(H20:H21)</f>
        <v>17340000</v>
      </c>
      <c r="I19" s="100">
        <f t="shared" ref="I19:K19" si="8">SUM(I20:I21)</f>
        <v>7340000</v>
      </c>
      <c r="J19" s="100">
        <f t="shared" si="8"/>
        <v>5000000</v>
      </c>
      <c r="K19" s="100">
        <f t="shared" si="8"/>
        <v>5000000</v>
      </c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</row>
    <row r="20" spans="1:22" s="8" customFormat="1" ht="15">
      <c r="A20" s="164"/>
      <c r="B20" s="498" t="s">
        <v>363</v>
      </c>
      <c r="C20" s="499"/>
      <c r="D20" s="484"/>
      <c r="E20" s="488"/>
      <c r="F20" s="489"/>
      <c r="G20" s="493"/>
      <c r="H20" s="100">
        <v>10574000</v>
      </c>
      <c r="I20" s="100">
        <v>4476000</v>
      </c>
      <c r="J20" s="100">
        <v>3049000</v>
      </c>
      <c r="K20" s="100">
        <v>3049000</v>
      </c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</row>
    <row r="21" spans="1:22" s="8" customFormat="1" ht="15.75" customHeight="1">
      <c r="A21" s="164"/>
      <c r="B21" s="498" t="s">
        <v>364</v>
      </c>
      <c r="C21" s="499"/>
      <c r="D21" s="485"/>
      <c r="E21" s="490"/>
      <c r="F21" s="491"/>
      <c r="G21" s="494"/>
      <c r="H21" s="100">
        <v>6766000</v>
      </c>
      <c r="I21" s="100">
        <v>2864000</v>
      </c>
      <c r="J21" s="100">
        <v>1951000</v>
      </c>
      <c r="K21" s="100">
        <v>1951000</v>
      </c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</row>
    <row r="22" spans="1:22" s="8" customFormat="1" ht="255">
      <c r="A22" s="88">
        <v>3</v>
      </c>
      <c r="B22" s="88" t="s">
        <v>261</v>
      </c>
      <c r="C22" s="88" t="s">
        <v>262</v>
      </c>
      <c r="D22" s="483" t="s">
        <v>259</v>
      </c>
      <c r="E22" s="486" t="s">
        <v>367</v>
      </c>
      <c r="F22" s="487"/>
      <c r="G22" s="492" t="s">
        <v>366</v>
      </c>
      <c r="H22" s="93">
        <f>SUM(H23:H24)</f>
        <v>19740000</v>
      </c>
      <c r="I22" s="93">
        <f t="shared" ref="I22:J22" si="9">SUM(I23:I24)</f>
        <v>10000000</v>
      </c>
      <c r="J22" s="93">
        <f t="shared" si="9"/>
        <v>9740000</v>
      </c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>
        <v>9740000</v>
      </c>
    </row>
    <row r="23" spans="1:22" s="8" customFormat="1" ht="15" customHeight="1">
      <c r="A23" s="495" t="s">
        <v>194</v>
      </c>
      <c r="B23" s="496"/>
      <c r="C23" s="497"/>
      <c r="D23" s="484"/>
      <c r="E23" s="488"/>
      <c r="F23" s="489"/>
      <c r="G23" s="493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</row>
    <row r="24" spans="1:22" s="8" customFormat="1" ht="15">
      <c r="A24" s="495" t="s">
        <v>362</v>
      </c>
      <c r="B24" s="496"/>
      <c r="C24" s="497"/>
      <c r="D24" s="484"/>
      <c r="E24" s="488"/>
      <c r="F24" s="489"/>
      <c r="G24" s="493"/>
      <c r="H24" s="100">
        <f>SUM(H25:H26)</f>
        <v>19740000</v>
      </c>
      <c r="I24" s="100">
        <f t="shared" ref="I24:J24" si="10">SUM(I25:I26)</f>
        <v>10000000</v>
      </c>
      <c r="J24" s="100">
        <f t="shared" si="10"/>
        <v>9740000</v>
      </c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</row>
    <row r="25" spans="1:22" s="8" customFormat="1" ht="15">
      <c r="A25" s="164"/>
      <c r="B25" s="498" t="s">
        <v>363</v>
      </c>
      <c r="C25" s="499"/>
      <c r="D25" s="484"/>
      <c r="E25" s="488"/>
      <c r="F25" s="489"/>
      <c r="G25" s="493"/>
      <c r="H25" s="100">
        <v>12037000</v>
      </c>
      <c r="I25" s="100">
        <v>6098000</v>
      </c>
      <c r="J25" s="100">
        <v>5939000</v>
      </c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</row>
    <row r="26" spans="1:22" s="8" customFormat="1" ht="15">
      <c r="A26" s="164"/>
      <c r="B26" s="498" t="s">
        <v>364</v>
      </c>
      <c r="C26" s="499"/>
      <c r="D26" s="485"/>
      <c r="E26" s="490"/>
      <c r="F26" s="491"/>
      <c r="G26" s="494"/>
      <c r="H26" s="100">
        <v>7703000</v>
      </c>
      <c r="I26" s="100">
        <v>3902000</v>
      </c>
      <c r="J26" s="100">
        <v>3801000</v>
      </c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</row>
    <row r="27" spans="1:22" s="8" customFormat="1" ht="180">
      <c r="A27" s="88">
        <v>4</v>
      </c>
      <c r="B27" s="88" t="s">
        <v>264</v>
      </c>
      <c r="C27" s="88" t="s">
        <v>265</v>
      </c>
      <c r="D27" s="483" t="s">
        <v>259</v>
      </c>
      <c r="E27" s="486" t="s">
        <v>365</v>
      </c>
      <c r="F27" s="487"/>
      <c r="G27" s="492" t="s">
        <v>366</v>
      </c>
      <c r="H27" s="93">
        <f>SUM(H28:H29)</f>
        <v>3660000</v>
      </c>
      <c r="I27" s="93">
        <f t="shared" ref="I27:K27" si="11">SUM(I28:I29)</f>
        <v>2000000</v>
      </c>
      <c r="J27" s="93">
        <f t="shared" si="11"/>
        <v>830000</v>
      </c>
      <c r="K27" s="93">
        <f t="shared" si="11"/>
        <v>830000</v>
      </c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>
        <v>1660000</v>
      </c>
    </row>
    <row r="28" spans="1:22" s="8" customFormat="1" ht="15" customHeight="1">
      <c r="A28" s="495" t="s">
        <v>194</v>
      </c>
      <c r="B28" s="496"/>
      <c r="C28" s="497"/>
      <c r="D28" s="484"/>
      <c r="E28" s="488"/>
      <c r="F28" s="489"/>
      <c r="G28" s="493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</row>
    <row r="29" spans="1:22" s="8" customFormat="1" ht="15">
      <c r="A29" s="495" t="s">
        <v>362</v>
      </c>
      <c r="B29" s="496"/>
      <c r="C29" s="497"/>
      <c r="D29" s="484"/>
      <c r="E29" s="488"/>
      <c r="F29" s="489"/>
      <c r="G29" s="493"/>
      <c r="H29" s="100">
        <f>SUM(H30:H31)</f>
        <v>3660000</v>
      </c>
      <c r="I29" s="100">
        <f t="shared" ref="I29:K29" si="12">SUM(I30:I31)</f>
        <v>2000000</v>
      </c>
      <c r="J29" s="100">
        <f t="shared" si="12"/>
        <v>830000</v>
      </c>
      <c r="K29" s="100">
        <f t="shared" si="12"/>
        <v>830000</v>
      </c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</row>
    <row r="30" spans="1:22" s="8" customFormat="1" ht="15">
      <c r="A30" s="164"/>
      <c r="B30" s="498" t="s">
        <v>363</v>
      </c>
      <c r="C30" s="499"/>
      <c r="D30" s="484"/>
      <c r="E30" s="488"/>
      <c r="F30" s="489"/>
      <c r="G30" s="493"/>
      <c r="H30" s="100">
        <v>2231000</v>
      </c>
      <c r="I30" s="100">
        <v>1219000</v>
      </c>
      <c r="J30" s="100">
        <v>506000</v>
      </c>
      <c r="K30" s="100">
        <v>506000</v>
      </c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</row>
    <row r="31" spans="1:22" s="8" customFormat="1" ht="15">
      <c r="A31" s="164"/>
      <c r="B31" s="498" t="s">
        <v>364</v>
      </c>
      <c r="C31" s="499"/>
      <c r="D31" s="485"/>
      <c r="E31" s="490"/>
      <c r="F31" s="491"/>
      <c r="G31" s="494"/>
      <c r="H31" s="100">
        <v>1429000</v>
      </c>
      <c r="I31" s="100">
        <v>781000</v>
      </c>
      <c r="J31" s="100">
        <v>324000</v>
      </c>
      <c r="K31" s="100">
        <v>324000</v>
      </c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</row>
    <row r="32" spans="1:22" s="8" customFormat="1" ht="180">
      <c r="A32" s="88">
        <v>5</v>
      </c>
      <c r="B32" s="88" t="s">
        <v>267</v>
      </c>
      <c r="C32" s="88" t="s">
        <v>268</v>
      </c>
      <c r="D32" s="483" t="s">
        <v>259</v>
      </c>
      <c r="E32" s="486" t="s">
        <v>365</v>
      </c>
      <c r="F32" s="487"/>
      <c r="G32" s="492" t="s">
        <v>366</v>
      </c>
      <c r="H32" s="93">
        <f>SUM(H33:H34)</f>
        <v>25210000</v>
      </c>
      <c r="I32" s="93">
        <f t="shared" ref="I32:K32" si="13">SUM(I33:I34)</f>
        <v>6500000</v>
      </c>
      <c r="J32" s="93">
        <f t="shared" si="13"/>
        <v>9355000</v>
      </c>
      <c r="K32" s="93">
        <f t="shared" si="13"/>
        <v>9355000</v>
      </c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>
        <v>18710000</v>
      </c>
    </row>
    <row r="33" spans="1:22" s="8" customFormat="1" ht="15" customHeight="1">
      <c r="A33" s="495" t="s">
        <v>194</v>
      </c>
      <c r="B33" s="496"/>
      <c r="C33" s="497"/>
      <c r="D33" s="484"/>
      <c r="E33" s="488"/>
      <c r="F33" s="489"/>
      <c r="G33" s="493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</row>
    <row r="34" spans="1:22" s="8" customFormat="1" ht="15">
      <c r="A34" s="495" t="s">
        <v>362</v>
      </c>
      <c r="B34" s="496"/>
      <c r="C34" s="497"/>
      <c r="D34" s="484"/>
      <c r="E34" s="488"/>
      <c r="F34" s="489"/>
      <c r="G34" s="493"/>
      <c r="H34" s="100">
        <f>SUM(H35:H36)</f>
        <v>25210000</v>
      </c>
      <c r="I34" s="100">
        <f t="shared" ref="I34:K34" si="14">SUM(I35:I36)</f>
        <v>6500000</v>
      </c>
      <c r="J34" s="100">
        <f t="shared" si="14"/>
        <v>9355000</v>
      </c>
      <c r="K34" s="100">
        <f t="shared" si="14"/>
        <v>9355000</v>
      </c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</row>
    <row r="35" spans="1:22" s="8" customFormat="1" ht="15">
      <c r="A35" s="164"/>
      <c r="B35" s="498" t="s">
        <v>363</v>
      </c>
      <c r="C35" s="499"/>
      <c r="D35" s="484"/>
      <c r="E35" s="488"/>
      <c r="F35" s="489"/>
      <c r="G35" s="493"/>
      <c r="H35" s="100">
        <v>15371000</v>
      </c>
      <c r="I35" s="100">
        <v>3963000</v>
      </c>
      <c r="J35" s="100">
        <v>5704000</v>
      </c>
      <c r="K35" s="100">
        <v>5704000</v>
      </c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</row>
    <row r="36" spans="1:22" s="8" customFormat="1" ht="15">
      <c r="A36" s="164"/>
      <c r="B36" s="498" t="s">
        <v>364</v>
      </c>
      <c r="C36" s="499"/>
      <c r="D36" s="485"/>
      <c r="E36" s="490"/>
      <c r="F36" s="491"/>
      <c r="G36" s="494"/>
      <c r="H36" s="100">
        <v>9839000</v>
      </c>
      <c r="I36" s="100">
        <v>2537000</v>
      </c>
      <c r="J36" s="100">
        <v>3651000</v>
      </c>
      <c r="K36" s="100">
        <v>3651000</v>
      </c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</row>
    <row r="37" spans="1:22" s="8" customFormat="1" ht="60">
      <c r="A37" s="102">
        <v>6</v>
      </c>
      <c r="B37" s="96" t="s">
        <v>270</v>
      </c>
      <c r="C37" s="96" t="s">
        <v>271</v>
      </c>
      <c r="D37" s="500" t="s">
        <v>255</v>
      </c>
      <c r="E37" s="486" t="s">
        <v>368</v>
      </c>
      <c r="F37" s="487"/>
      <c r="G37" s="492" t="s">
        <v>369</v>
      </c>
      <c r="H37" s="103">
        <f>SUM(H38:H39)</f>
        <v>36013711</v>
      </c>
      <c r="I37" s="103">
        <f t="shared" ref="I37:J37" si="15">SUM(I38:I39)</f>
        <v>11633000</v>
      </c>
      <c r="J37" s="103">
        <f t="shared" si="15"/>
        <v>8519357</v>
      </c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>
        <f>23722288-23722288+5078857</f>
        <v>5078857</v>
      </c>
    </row>
    <row r="38" spans="1:22" s="8" customFormat="1" ht="15">
      <c r="A38" s="495" t="s">
        <v>194</v>
      </c>
      <c r="B38" s="496"/>
      <c r="C38" s="497"/>
      <c r="D38" s="501"/>
      <c r="E38" s="488"/>
      <c r="F38" s="489"/>
      <c r="G38" s="493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</row>
    <row r="39" spans="1:22" s="8" customFormat="1" ht="15">
      <c r="A39" s="495" t="s">
        <v>362</v>
      </c>
      <c r="B39" s="496"/>
      <c r="C39" s="497"/>
      <c r="D39" s="501"/>
      <c r="E39" s="488"/>
      <c r="F39" s="489"/>
      <c r="G39" s="493"/>
      <c r="H39" s="100">
        <f>SUM(H40:H41)</f>
        <v>36013711</v>
      </c>
      <c r="I39" s="100">
        <f t="shared" ref="I39:J39" si="16">SUM(I40:I41)</f>
        <v>11633000</v>
      </c>
      <c r="J39" s="100">
        <f t="shared" si="16"/>
        <v>8519357</v>
      </c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91"/>
    </row>
    <row r="40" spans="1:22" s="8" customFormat="1" ht="15">
      <c r="A40" s="132"/>
      <c r="B40" s="498" t="s">
        <v>363</v>
      </c>
      <c r="C40" s="499"/>
      <c r="D40" s="501"/>
      <c r="E40" s="488"/>
      <c r="F40" s="489"/>
      <c r="G40" s="493"/>
      <c r="H40" s="100">
        <v>15451357</v>
      </c>
      <c r="I40" s="100">
        <v>6932000</v>
      </c>
      <c r="J40" s="100">
        <v>8519357</v>
      </c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</row>
    <row r="41" spans="1:22" s="8" customFormat="1" ht="15">
      <c r="A41" s="132"/>
      <c r="B41" s="498" t="s">
        <v>364</v>
      </c>
      <c r="C41" s="499"/>
      <c r="D41" s="502"/>
      <c r="E41" s="490"/>
      <c r="F41" s="491"/>
      <c r="G41" s="494"/>
      <c r="H41" s="100">
        <v>20562354</v>
      </c>
      <c r="I41" s="162">
        <v>4701000</v>
      </c>
      <c r="J41" s="163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</row>
    <row r="42" spans="1:22" s="8" customFormat="1" ht="120">
      <c r="A42" s="88">
        <v>7</v>
      </c>
      <c r="B42" s="88" t="s">
        <v>273</v>
      </c>
      <c r="C42" s="88" t="s">
        <v>274</v>
      </c>
      <c r="D42" s="483" t="s">
        <v>275</v>
      </c>
      <c r="E42" s="486" t="s">
        <v>370</v>
      </c>
      <c r="F42" s="487"/>
      <c r="G42" s="492" t="s">
        <v>371</v>
      </c>
      <c r="H42" s="93">
        <f>SUM(H43:H44)</f>
        <v>6214844</v>
      </c>
      <c r="I42" s="93">
        <f t="shared" ref="I42:J42" si="17">SUM(I43:I44)</f>
        <v>2893354</v>
      </c>
      <c r="J42" s="93">
        <f t="shared" si="17"/>
        <v>514640</v>
      </c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>
        <v>514640</v>
      </c>
    </row>
    <row r="43" spans="1:22" s="8" customFormat="1" ht="15">
      <c r="A43" s="495" t="s">
        <v>194</v>
      </c>
      <c r="B43" s="496"/>
      <c r="C43" s="497"/>
      <c r="D43" s="484"/>
      <c r="E43" s="488"/>
      <c r="F43" s="489"/>
      <c r="G43" s="493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</row>
    <row r="44" spans="1:22" s="8" customFormat="1" ht="15">
      <c r="A44" s="495" t="s">
        <v>362</v>
      </c>
      <c r="B44" s="496"/>
      <c r="C44" s="497"/>
      <c r="D44" s="484"/>
      <c r="E44" s="488"/>
      <c r="F44" s="489"/>
      <c r="G44" s="493"/>
      <c r="H44" s="100">
        <f>SUM(H45:H46)</f>
        <v>6214844</v>
      </c>
      <c r="I44" s="100">
        <f t="shared" ref="I44:J44" si="18">SUM(I45:I46)</f>
        <v>2893354</v>
      </c>
      <c r="J44" s="100">
        <f t="shared" si="18"/>
        <v>514640</v>
      </c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</row>
    <row r="45" spans="1:22" s="8" customFormat="1" ht="15">
      <c r="A45" s="165"/>
      <c r="B45" s="498" t="s">
        <v>363</v>
      </c>
      <c r="C45" s="499"/>
      <c r="D45" s="484"/>
      <c r="E45" s="488"/>
      <c r="F45" s="489"/>
      <c r="G45" s="493"/>
      <c r="H45" s="100">
        <v>2888354</v>
      </c>
      <c r="I45" s="100">
        <v>2888354</v>
      </c>
      <c r="J45" s="100">
        <v>0</v>
      </c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</row>
    <row r="46" spans="1:22" s="8" customFormat="1" ht="15">
      <c r="A46" s="165"/>
      <c r="B46" s="498" t="s">
        <v>364</v>
      </c>
      <c r="C46" s="499"/>
      <c r="D46" s="485"/>
      <c r="E46" s="490"/>
      <c r="F46" s="491"/>
      <c r="G46" s="494"/>
      <c r="H46" s="100">
        <v>3326490</v>
      </c>
      <c r="I46" s="100">
        <v>5000</v>
      </c>
      <c r="J46" s="100">
        <v>514640</v>
      </c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</row>
    <row r="47" spans="1:22" s="8" customFormat="1" ht="149.25" customHeight="1">
      <c r="A47" s="88">
        <v>8</v>
      </c>
      <c r="B47" s="88" t="s">
        <v>277</v>
      </c>
      <c r="C47" s="88" t="s">
        <v>278</v>
      </c>
      <c r="D47" s="483" t="s">
        <v>259</v>
      </c>
      <c r="E47" s="486" t="s">
        <v>372</v>
      </c>
      <c r="F47" s="487"/>
      <c r="G47" s="492" t="s">
        <v>371</v>
      </c>
      <c r="H47" s="93">
        <f>SUM(H48:H49)</f>
        <v>26543778</v>
      </c>
      <c r="I47" s="93">
        <f t="shared" ref="I47:J47" si="19">SUM(I48:I49)</f>
        <v>25267621</v>
      </c>
      <c r="J47" s="93">
        <f t="shared" si="19"/>
        <v>884622</v>
      </c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>
        <v>884622</v>
      </c>
    </row>
    <row r="48" spans="1:22" s="8" customFormat="1" ht="15" customHeight="1">
      <c r="A48" s="495" t="s">
        <v>194</v>
      </c>
      <c r="B48" s="496"/>
      <c r="C48" s="497"/>
      <c r="D48" s="484"/>
      <c r="E48" s="488"/>
      <c r="F48" s="489"/>
      <c r="G48" s="493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</row>
    <row r="49" spans="1:22" s="8" customFormat="1" ht="15">
      <c r="A49" s="495" t="s">
        <v>362</v>
      </c>
      <c r="B49" s="496"/>
      <c r="C49" s="497"/>
      <c r="D49" s="484"/>
      <c r="E49" s="488"/>
      <c r="F49" s="489"/>
      <c r="G49" s="493"/>
      <c r="H49" s="100">
        <f>SUM(H50:H51)</f>
        <v>26543778</v>
      </c>
      <c r="I49" s="100">
        <f t="shared" ref="I49:J49" si="20">SUM(I50:I51)</f>
        <v>25267621</v>
      </c>
      <c r="J49" s="100">
        <f t="shared" si="20"/>
        <v>884622</v>
      </c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</row>
    <row r="50" spans="1:22" s="8" customFormat="1" ht="15">
      <c r="A50" s="164"/>
      <c r="B50" s="498" t="s">
        <v>363</v>
      </c>
      <c r="C50" s="499"/>
      <c r="D50" s="484"/>
      <c r="E50" s="488"/>
      <c r="F50" s="489"/>
      <c r="G50" s="493"/>
      <c r="H50" s="100">
        <v>21875621</v>
      </c>
      <c r="I50" s="100">
        <v>21875621</v>
      </c>
      <c r="J50" s="100">
        <v>0</v>
      </c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</row>
    <row r="51" spans="1:22" s="8" customFormat="1" ht="15">
      <c r="A51" s="164"/>
      <c r="B51" s="498" t="s">
        <v>364</v>
      </c>
      <c r="C51" s="499"/>
      <c r="D51" s="485"/>
      <c r="E51" s="490"/>
      <c r="F51" s="491"/>
      <c r="G51" s="494"/>
      <c r="H51" s="100">
        <v>4668157</v>
      </c>
      <c r="I51" s="100">
        <v>3392000</v>
      </c>
      <c r="J51" s="100">
        <v>884622</v>
      </c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</row>
    <row r="52" spans="1:22" s="8" customFormat="1" ht="328.5" customHeight="1">
      <c r="A52" s="102">
        <v>9</v>
      </c>
      <c r="B52" s="88" t="s">
        <v>199</v>
      </c>
      <c r="C52" s="89" t="s">
        <v>200</v>
      </c>
      <c r="D52" s="483" t="s">
        <v>201</v>
      </c>
      <c r="E52" s="486" t="s">
        <v>373</v>
      </c>
      <c r="F52" s="487"/>
      <c r="G52" s="483" t="s">
        <v>374</v>
      </c>
      <c r="H52" s="91">
        <f>SUM(H53,H56)</f>
        <v>36767900</v>
      </c>
      <c r="I52" s="91">
        <f t="shared" ref="I52:K52" si="21">SUM(I53,I56)</f>
        <v>5950000</v>
      </c>
      <c r="J52" s="91">
        <f t="shared" si="21"/>
        <v>5754000</v>
      </c>
      <c r="K52" s="91">
        <f t="shared" si="21"/>
        <v>5754000</v>
      </c>
      <c r="L52" s="91"/>
      <c r="M52" s="91"/>
      <c r="N52" s="91"/>
      <c r="O52" s="91"/>
      <c r="P52" s="92"/>
      <c r="Q52" s="92"/>
      <c r="R52" s="92"/>
      <c r="S52" s="92"/>
      <c r="T52" s="92"/>
      <c r="U52" s="92"/>
      <c r="V52" s="91">
        <v>0</v>
      </c>
    </row>
    <row r="53" spans="1:22" s="8" customFormat="1" ht="15">
      <c r="A53" s="503" t="s">
        <v>375</v>
      </c>
      <c r="B53" s="504"/>
      <c r="C53" s="505"/>
      <c r="D53" s="484"/>
      <c r="E53" s="488"/>
      <c r="F53" s="489"/>
      <c r="G53" s="484"/>
      <c r="H53" s="100">
        <f>SUM(H54:H55)</f>
        <v>36442500</v>
      </c>
      <c r="I53" s="100">
        <f t="shared" ref="I53:K53" si="22">SUM(I54:I55)</f>
        <v>5931000</v>
      </c>
      <c r="J53" s="100">
        <f t="shared" si="22"/>
        <v>5739000</v>
      </c>
      <c r="K53" s="100">
        <f t="shared" si="22"/>
        <v>5739000</v>
      </c>
      <c r="L53" s="100"/>
      <c r="M53" s="100"/>
      <c r="N53" s="100"/>
      <c r="O53" s="100"/>
      <c r="P53" s="166"/>
      <c r="Q53" s="166"/>
      <c r="R53" s="166"/>
      <c r="S53" s="166"/>
      <c r="T53" s="166"/>
      <c r="U53" s="166"/>
      <c r="V53" s="166"/>
    </row>
    <row r="54" spans="1:22" s="8" customFormat="1" ht="15">
      <c r="A54" s="164"/>
      <c r="B54" s="506" t="s">
        <v>376</v>
      </c>
      <c r="C54" s="507"/>
      <c r="D54" s="484"/>
      <c r="E54" s="488"/>
      <c r="F54" s="489"/>
      <c r="G54" s="484"/>
      <c r="H54" s="100">
        <v>4116460</v>
      </c>
      <c r="I54" s="100">
        <v>390000</v>
      </c>
      <c r="J54" s="100">
        <f>1290000-865000</f>
        <v>425000</v>
      </c>
      <c r="K54" s="100">
        <f>5739000-3159000</f>
        <v>2580000</v>
      </c>
      <c r="L54" s="100"/>
      <c r="M54" s="100"/>
      <c r="N54" s="100"/>
      <c r="O54" s="100"/>
      <c r="P54" s="166"/>
      <c r="Q54" s="166"/>
      <c r="R54" s="166"/>
      <c r="S54" s="166"/>
      <c r="T54" s="166"/>
      <c r="U54" s="166"/>
      <c r="V54" s="166"/>
    </row>
    <row r="55" spans="1:22" s="8" customFormat="1" ht="15">
      <c r="A55" s="164"/>
      <c r="B55" s="506" t="s">
        <v>364</v>
      </c>
      <c r="C55" s="507"/>
      <c r="D55" s="484"/>
      <c r="E55" s="488"/>
      <c r="F55" s="489"/>
      <c r="G55" s="484"/>
      <c r="H55" s="100">
        <v>32326040</v>
      </c>
      <c r="I55" s="100">
        <v>5541000</v>
      </c>
      <c r="J55" s="100">
        <f>4449000+865000</f>
        <v>5314000</v>
      </c>
      <c r="K55" s="100">
        <v>3159000</v>
      </c>
      <c r="L55" s="100"/>
      <c r="M55" s="100"/>
      <c r="N55" s="100"/>
      <c r="O55" s="100"/>
      <c r="P55" s="166"/>
      <c r="Q55" s="166"/>
      <c r="R55" s="166"/>
      <c r="S55" s="166"/>
      <c r="T55" s="166"/>
      <c r="U55" s="166"/>
      <c r="V55" s="166"/>
    </row>
    <row r="56" spans="1:22" s="8" customFormat="1" ht="15">
      <c r="A56" s="503" t="s">
        <v>362</v>
      </c>
      <c r="B56" s="504"/>
      <c r="C56" s="505"/>
      <c r="D56" s="484"/>
      <c r="E56" s="488"/>
      <c r="F56" s="489"/>
      <c r="G56" s="484"/>
      <c r="H56" s="100">
        <f>SUM(H57:H58)</f>
        <v>325400</v>
      </c>
      <c r="I56" s="100">
        <f t="shared" ref="I56:K56" si="23">SUM(I57:I58)</f>
        <v>19000</v>
      </c>
      <c r="J56" s="100">
        <f t="shared" si="23"/>
        <v>15000</v>
      </c>
      <c r="K56" s="100">
        <f t="shared" si="23"/>
        <v>15000</v>
      </c>
      <c r="L56" s="100"/>
      <c r="M56" s="100"/>
      <c r="N56" s="100"/>
      <c r="O56" s="100"/>
      <c r="P56" s="166"/>
      <c r="Q56" s="166"/>
      <c r="R56" s="166"/>
      <c r="S56" s="166"/>
      <c r="T56" s="166"/>
      <c r="U56" s="166"/>
      <c r="V56" s="166"/>
    </row>
    <row r="57" spans="1:22" s="8" customFormat="1" ht="15">
      <c r="A57" s="164"/>
      <c r="B57" s="506" t="s">
        <v>376</v>
      </c>
      <c r="C57" s="507"/>
      <c r="D57" s="484"/>
      <c r="E57" s="488"/>
      <c r="F57" s="489"/>
      <c r="G57" s="484"/>
      <c r="H57" s="100">
        <v>67890</v>
      </c>
      <c r="I57" s="100">
        <v>4000</v>
      </c>
      <c r="J57" s="100">
        <v>3000</v>
      </c>
      <c r="K57" s="100">
        <f>15000-12000</f>
        <v>3000</v>
      </c>
      <c r="L57" s="100"/>
      <c r="M57" s="100"/>
      <c r="N57" s="100"/>
      <c r="O57" s="100"/>
      <c r="P57" s="166"/>
      <c r="Q57" s="166"/>
      <c r="R57" s="166"/>
      <c r="S57" s="166"/>
      <c r="T57" s="166"/>
      <c r="U57" s="166"/>
      <c r="V57" s="166"/>
    </row>
    <row r="58" spans="1:22" s="8" customFormat="1" ht="15">
      <c r="A58" s="164"/>
      <c r="B58" s="506" t="s">
        <v>364</v>
      </c>
      <c r="C58" s="507"/>
      <c r="D58" s="485"/>
      <c r="E58" s="490"/>
      <c r="F58" s="491"/>
      <c r="G58" s="485"/>
      <c r="H58" s="100">
        <v>257510</v>
      </c>
      <c r="I58" s="100">
        <v>15000</v>
      </c>
      <c r="J58" s="100">
        <v>12000</v>
      </c>
      <c r="K58" s="100">
        <v>12000</v>
      </c>
      <c r="L58" s="100"/>
      <c r="M58" s="100"/>
      <c r="N58" s="100"/>
      <c r="O58" s="100"/>
      <c r="P58" s="166"/>
      <c r="Q58" s="166"/>
      <c r="R58" s="166"/>
      <c r="S58" s="166"/>
      <c r="T58" s="166"/>
      <c r="U58" s="166"/>
      <c r="V58" s="166"/>
    </row>
    <row r="59" spans="1:22" s="8" customFormat="1" ht="343.5" customHeight="1">
      <c r="A59" s="88">
        <v>10</v>
      </c>
      <c r="B59" s="88" t="s">
        <v>203</v>
      </c>
      <c r="C59" s="89" t="s">
        <v>204</v>
      </c>
      <c r="D59" s="483" t="s">
        <v>201</v>
      </c>
      <c r="E59" s="486" t="s">
        <v>377</v>
      </c>
      <c r="F59" s="487"/>
      <c r="G59" s="483" t="s">
        <v>378</v>
      </c>
      <c r="H59" s="93">
        <f>SUM(H60,H63)</f>
        <v>2769774</v>
      </c>
      <c r="I59" s="93">
        <f t="shared" ref="I59:K59" si="24">SUM(I60,I63)</f>
        <v>614000</v>
      </c>
      <c r="J59" s="93">
        <f t="shared" si="24"/>
        <v>685000</v>
      </c>
      <c r="K59" s="93">
        <f t="shared" si="24"/>
        <v>360000</v>
      </c>
      <c r="L59" s="93"/>
      <c r="M59" s="93"/>
      <c r="N59" s="93"/>
      <c r="O59" s="93"/>
      <c r="P59" s="94"/>
      <c r="Q59" s="94"/>
      <c r="R59" s="94"/>
      <c r="S59" s="94"/>
      <c r="T59" s="94"/>
      <c r="U59" s="94"/>
      <c r="V59" s="93">
        <v>0</v>
      </c>
    </row>
    <row r="60" spans="1:22" s="8" customFormat="1" ht="15">
      <c r="A60" s="503" t="s">
        <v>375</v>
      </c>
      <c r="B60" s="504"/>
      <c r="C60" s="505"/>
      <c r="D60" s="484"/>
      <c r="E60" s="488"/>
      <c r="F60" s="489"/>
      <c r="G60" s="484"/>
      <c r="H60" s="100">
        <f>SUM(H61:H62)</f>
        <v>2704474</v>
      </c>
      <c r="I60" s="100">
        <f t="shared" ref="I60:K60" si="25">SUM(I61:I62)</f>
        <v>602000</v>
      </c>
      <c r="J60" s="100">
        <f t="shared" si="25"/>
        <v>670000</v>
      </c>
      <c r="K60" s="100">
        <f t="shared" si="25"/>
        <v>350000</v>
      </c>
      <c r="L60" s="100"/>
      <c r="M60" s="100"/>
      <c r="N60" s="100"/>
      <c r="O60" s="100"/>
      <c r="P60" s="166"/>
      <c r="Q60" s="166"/>
      <c r="R60" s="166"/>
      <c r="S60" s="166"/>
      <c r="T60" s="166"/>
      <c r="U60" s="166"/>
      <c r="V60" s="166"/>
    </row>
    <row r="61" spans="1:22" s="8" customFormat="1" ht="15">
      <c r="A61" s="164"/>
      <c r="B61" s="506" t="s">
        <v>376</v>
      </c>
      <c r="C61" s="507"/>
      <c r="D61" s="484"/>
      <c r="E61" s="488"/>
      <c r="F61" s="489"/>
      <c r="G61" s="484"/>
      <c r="H61" s="100">
        <v>6903</v>
      </c>
      <c r="I61" s="100"/>
      <c r="J61" s="100"/>
      <c r="K61" s="100"/>
      <c r="L61" s="163"/>
      <c r="M61" s="100"/>
      <c r="N61" s="100"/>
      <c r="O61" s="100"/>
      <c r="P61" s="166"/>
      <c r="Q61" s="166"/>
      <c r="R61" s="166"/>
      <c r="S61" s="166"/>
      <c r="T61" s="166"/>
      <c r="U61" s="166"/>
      <c r="V61" s="166"/>
    </row>
    <row r="62" spans="1:22" s="8" customFormat="1" ht="15">
      <c r="A62" s="164"/>
      <c r="B62" s="506" t="s">
        <v>364</v>
      </c>
      <c r="C62" s="507"/>
      <c r="D62" s="484"/>
      <c r="E62" s="488"/>
      <c r="F62" s="489"/>
      <c r="G62" s="484"/>
      <c r="H62" s="100">
        <v>2697571</v>
      </c>
      <c r="I62" s="162">
        <v>602000</v>
      </c>
      <c r="J62" s="162">
        <v>670000</v>
      </c>
      <c r="K62" s="162">
        <v>350000</v>
      </c>
      <c r="L62" s="163"/>
      <c r="M62" s="100"/>
      <c r="N62" s="100"/>
      <c r="O62" s="100"/>
      <c r="P62" s="166"/>
      <c r="Q62" s="166"/>
      <c r="R62" s="166"/>
      <c r="S62" s="166"/>
      <c r="T62" s="166"/>
      <c r="U62" s="166"/>
      <c r="V62" s="166"/>
    </row>
    <row r="63" spans="1:22" s="8" customFormat="1" ht="15">
      <c r="A63" s="503" t="s">
        <v>362</v>
      </c>
      <c r="B63" s="504"/>
      <c r="C63" s="505"/>
      <c r="D63" s="484"/>
      <c r="E63" s="488"/>
      <c r="F63" s="489"/>
      <c r="G63" s="484"/>
      <c r="H63" s="100">
        <f>SUM(H64:H65)</f>
        <v>65300</v>
      </c>
      <c r="I63" s="100">
        <f t="shared" ref="I63:K63" si="26">SUM(I64:I65)</f>
        <v>12000</v>
      </c>
      <c r="J63" s="100">
        <f t="shared" si="26"/>
        <v>15000</v>
      </c>
      <c r="K63" s="100">
        <f t="shared" si="26"/>
        <v>10000</v>
      </c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</row>
    <row r="64" spans="1:22" s="8" customFormat="1" ht="15">
      <c r="A64" s="164"/>
      <c r="B64" s="506" t="s">
        <v>376</v>
      </c>
      <c r="C64" s="507"/>
      <c r="D64" s="484"/>
      <c r="E64" s="488"/>
      <c r="F64" s="489"/>
      <c r="G64" s="484"/>
      <c r="H64" s="100">
        <v>2300</v>
      </c>
      <c r="I64" s="100"/>
      <c r="J64" s="100"/>
      <c r="K64" s="100"/>
      <c r="L64" s="167"/>
      <c r="M64" s="166"/>
      <c r="N64" s="166"/>
      <c r="O64" s="166"/>
      <c r="P64" s="166"/>
      <c r="Q64" s="166"/>
      <c r="R64" s="166"/>
      <c r="S64" s="166"/>
      <c r="T64" s="166"/>
      <c r="U64" s="166"/>
      <c r="V64" s="166"/>
    </row>
    <row r="65" spans="1:22" s="8" customFormat="1" ht="15">
      <c r="A65" s="168"/>
      <c r="B65" s="506" t="s">
        <v>364</v>
      </c>
      <c r="C65" s="507"/>
      <c r="D65" s="485"/>
      <c r="E65" s="490"/>
      <c r="F65" s="491"/>
      <c r="G65" s="485"/>
      <c r="H65" s="100">
        <v>63000</v>
      </c>
      <c r="I65" s="162">
        <v>12000</v>
      </c>
      <c r="J65" s="162">
        <v>15000</v>
      </c>
      <c r="K65" s="162">
        <v>10000</v>
      </c>
      <c r="L65" s="167"/>
      <c r="M65" s="166"/>
      <c r="N65" s="166"/>
      <c r="O65" s="166"/>
      <c r="P65" s="166"/>
      <c r="Q65" s="166"/>
      <c r="R65" s="166"/>
      <c r="S65" s="166"/>
      <c r="T65" s="166"/>
      <c r="U65" s="166"/>
      <c r="V65" s="166"/>
    </row>
    <row r="66" spans="1:22" s="8" customFormat="1" ht="135">
      <c r="A66" s="88">
        <v>11</v>
      </c>
      <c r="B66" s="88" t="s">
        <v>206</v>
      </c>
      <c r="C66" s="88" t="s">
        <v>207</v>
      </c>
      <c r="D66" s="483" t="s">
        <v>201</v>
      </c>
      <c r="E66" s="486" t="s">
        <v>379</v>
      </c>
      <c r="F66" s="487"/>
      <c r="G66" s="492" t="s">
        <v>380</v>
      </c>
      <c r="H66" s="93">
        <f>SUM(H67,H71)</f>
        <v>2412916</v>
      </c>
      <c r="I66" s="93">
        <f t="shared" ref="I66:P66" si="27">SUM(I67,I71)</f>
        <v>305185</v>
      </c>
      <c r="J66" s="93">
        <f t="shared" si="27"/>
        <v>305185</v>
      </c>
      <c r="K66" s="93">
        <f t="shared" si="27"/>
        <v>284733</v>
      </c>
      <c r="L66" s="93">
        <f t="shared" si="27"/>
        <v>231732</v>
      </c>
      <c r="M66" s="93">
        <f t="shared" si="27"/>
        <v>231732</v>
      </c>
      <c r="N66" s="93">
        <f t="shared" si="27"/>
        <v>231732</v>
      </c>
      <c r="O66" s="93">
        <f t="shared" si="27"/>
        <v>231732</v>
      </c>
      <c r="P66" s="93">
        <f t="shared" si="27"/>
        <v>231732</v>
      </c>
      <c r="Q66" s="93"/>
      <c r="R66" s="93"/>
      <c r="S66" s="93"/>
      <c r="T66" s="93"/>
      <c r="U66" s="93"/>
      <c r="V66" s="93">
        <v>589918</v>
      </c>
    </row>
    <row r="67" spans="1:22" s="8" customFormat="1" ht="15">
      <c r="A67" s="495" t="s">
        <v>375</v>
      </c>
      <c r="B67" s="496"/>
      <c r="C67" s="497"/>
      <c r="D67" s="484"/>
      <c r="E67" s="488"/>
      <c r="F67" s="489"/>
      <c r="G67" s="493"/>
      <c r="H67" s="100">
        <f>SUM(H68:H70)</f>
        <v>2412916</v>
      </c>
      <c r="I67" s="100">
        <f t="shared" ref="I67:P67" si="28">SUM(I68:I70)</f>
        <v>305185</v>
      </c>
      <c r="J67" s="100">
        <f t="shared" si="28"/>
        <v>305185</v>
      </c>
      <c r="K67" s="100">
        <f t="shared" si="28"/>
        <v>284733</v>
      </c>
      <c r="L67" s="100">
        <f t="shared" si="28"/>
        <v>231732</v>
      </c>
      <c r="M67" s="100">
        <f t="shared" si="28"/>
        <v>231732</v>
      </c>
      <c r="N67" s="100">
        <f t="shared" si="28"/>
        <v>231732</v>
      </c>
      <c r="O67" s="100">
        <f t="shared" si="28"/>
        <v>231732</v>
      </c>
      <c r="P67" s="100">
        <f t="shared" si="28"/>
        <v>231732</v>
      </c>
      <c r="Q67" s="100"/>
      <c r="R67" s="100"/>
      <c r="S67" s="100"/>
      <c r="T67" s="100"/>
      <c r="U67" s="100"/>
      <c r="V67" s="100"/>
    </row>
    <row r="68" spans="1:22" s="8" customFormat="1" ht="15">
      <c r="A68" s="164"/>
      <c r="B68" s="498" t="s">
        <v>363</v>
      </c>
      <c r="C68" s="499"/>
      <c r="D68" s="484"/>
      <c r="E68" s="488"/>
      <c r="F68" s="489"/>
      <c r="G68" s="493"/>
      <c r="H68" s="100">
        <v>945106</v>
      </c>
      <c r="I68" s="100">
        <v>259407</v>
      </c>
      <c r="J68" s="100">
        <v>259407</v>
      </c>
      <c r="K68" s="100">
        <v>121012</v>
      </c>
      <c r="L68" s="100">
        <v>0</v>
      </c>
      <c r="M68" s="100">
        <v>0</v>
      </c>
      <c r="N68" s="100">
        <v>0</v>
      </c>
      <c r="O68" s="100">
        <v>0</v>
      </c>
      <c r="P68" s="100">
        <v>0</v>
      </c>
      <c r="Q68" s="100"/>
      <c r="R68" s="100"/>
      <c r="S68" s="100"/>
      <c r="T68" s="100"/>
      <c r="U68" s="100"/>
      <c r="V68" s="100"/>
    </row>
    <row r="69" spans="1:22" s="8" customFormat="1" ht="15">
      <c r="A69" s="164"/>
      <c r="B69" s="498" t="s">
        <v>376</v>
      </c>
      <c r="C69" s="499"/>
      <c r="D69" s="484"/>
      <c r="E69" s="488"/>
      <c r="F69" s="489"/>
      <c r="G69" s="493"/>
      <c r="H69" s="100">
        <v>1301026</v>
      </c>
      <c r="I69" s="100">
        <v>0</v>
      </c>
      <c r="J69" s="100">
        <v>0</v>
      </c>
      <c r="K69" s="100">
        <v>142366</v>
      </c>
      <c r="L69" s="100">
        <v>231732</v>
      </c>
      <c r="M69" s="100">
        <v>231732</v>
      </c>
      <c r="N69" s="100">
        <v>231732</v>
      </c>
      <c r="O69" s="100">
        <v>231732</v>
      </c>
      <c r="P69" s="100">
        <v>231732</v>
      </c>
      <c r="Q69" s="100"/>
      <c r="R69" s="100"/>
      <c r="S69" s="100"/>
      <c r="T69" s="100"/>
      <c r="U69" s="100"/>
      <c r="V69" s="100"/>
    </row>
    <row r="70" spans="1:22" s="8" customFormat="1" ht="15">
      <c r="A70" s="164"/>
      <c r="B70" s="498" t="s">
        <v>364</v>
      </c>
      <c r="C70" s="499"/>
      <c r="D70" s="484"/>
      <c r="E70" s="488"/>
      <c r="F70" s="489"/>
      <c r="G70" s="493"/>
      <c r="H70" s="100">
        <v>166784</v>
      </c>
      <c r="I70" s="100">
        <v>45778</v>
      </c>
      <c r="J70" s="100">
        <v>45778</v>
      </c>
      <c r="K70" s="100">
        <v>21355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0"/>
      <c r="R70" s="100"/>
      <c r="S70" s="100"/>
      <c r="T70" s="100"/>
      <c r="U70" s="100"/>
      <c r="V70" s="100"/>
    </row>
    <row r="71" spans="1:22" s="8" customFormat="1" ht="15">
      <c r="A71" s="495" t="s">
        <v>196</v>
      </c>
      <c r="B71" s="496"/>
      <c r="C71" s="497"/>
      <c r="D71" s="485"/>
      <c r="E71" s="490"/>
      <c r="F71" s="491"/>
      <c r="G71" s="494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</row>
    <row r="72" spans="1:22" s="8" customFormat="1" ht="120">
      <c r="A72" s="88">
        <v>12</v>
      </c>
      <c r="B72" s="88" t="s">
        <v>209</v>
      </c>
      <c r="C72" s="88" t="s">
        <v>210</v>
      </c>
      <c r="D72" s="483" t="s">
        <v>201</v>
      </c>
      <c r="E72" s="486" t="s">
        <v>381</v>
      </c>
      <c r="F72" s="487"/>
      <c r="G72" s="492" t="s">
        <v>382</v>
      </c>
      <c r="H72" s="93">
        <f>SUM(H73,H76)</f>
        <v>70571394</v>
      </c>
      <c r="I72" s="93">
        <f t="shared" ref="I72:J72" si="29">SUM(I73,I76)</f>
        <v>10285000</v>
      </c>
      <c r="J72" s="93">
        <f t="shared" si="29"/>
        <v>60249000</v>
      </c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>
        <v>60249000</v>
      </c>
    </row>
    <row r="73" spans="1:22" s="8" customFormat="1" ht="15">
      <c r="A73" s="495" t="s">
        <v>375</v>
      </c>
      <c r="B73" s="496"/>
      <c r="C73" s="497"/>
      <c r="D73" s="484"/>
      <c r="E73" s="488"/>
      <c r="F73" s="489"/>
      <c r="G73" s="493"/>
      <c r="H73" s="100">
        <f>SUM(H74:H75)</f>
        <v>327394</v>
      </c>
      <c r="I73" s="100">
        <f>SUM(I74:I75)</f>
        <v>126000</v>
      </c>
      <c r="J73" s="100">
        <f>SUM(J74:J75)</f>
        <v>164000</v>
      </c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</row>
    <row r="74" spans="1:22" s="8" customFormat="1" ht="15">
      <c r="A74" s="164"/>
      <c r="B74" s="498" t="s">
        <v>363</v>
      </c>
      <c r="C74" s="499"/>
      <c r="D74" s="484"/>
      <c r="E74" s="488"/>
      <c r="F74" s="489"/>
      <c r="G74" s="493"/>
      <c r="H74" s="100">
        <v>274696</v>
      </c>
      <c r="I74" s="100">
        <v>107100</v>
      </c>
      <c r="J74" s="100">
        <v>139400</v>
      </c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</row>
    <row r="75" spans="1:22" s="8" customFormat="1" ht="15">
      <c r="A75" s="164"/>
      <c r="B75" s="498" t="s">
        <v>376</v>
      </c>
      <c r="C75" s="499"/>
      <c r="D75" s="484"/>
      <c r="E75" s="488"/>
      <c r="F75" s="489"/>
      <c r="G75" s="493"/>
      <c r="H75" s="100">
        <v>52698</v>
      </c>
      <c r="I75" s="100">
        <v>18900</v>
      </c>
      <c r="J75" s="100">
        <v>24600</v>
      </c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</row>
    <row r="76" spans="1:22" s="8" customFormat="1" ht="15">
      <c r="A76" s="495" t="s">
        <v>362</v>
      </c>
      <c r="B76" s="496"/>
      <c r="C76" s="497"/>
      <c r="D76" s="484"/>
      <c r="E76" s="488"/>
      <c r="F76" s="489"/>
      <c r="G76" s="493"/>
      <c r="H76" s="100">
        <f>SUM(H77:H79)</f>
        <v>70244000</v>
      </c>
      <c r="I76" s="100">
        <f>SUM(I77:I79)</f>
        <v>10159000</v>
      </c>
      <c r="J76" s="100">
        <f>SUM(J77:J79)</f>
        <v>60085000</v>
      </c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</row>
    <row r="77" spans="1:22" s="8" customFormat="1" ht="15">
      <c r="A77" s="164"/>
      <c r="B77" s="498" t="s">
        <v>363</v>
      </c>
      <c r="C77" s="499"/>
      <c r="D77" s="484"/>
      <c r="E77" s="488"/>
      <c r="F77" s="489"/>
      <c r="G77" s="493"/>
      <c r="H77" s="100">
        <v>59707400</v>
      </c>
      <c r="I77" s="100">
        <v>8635150</v>
      </c>
      <c r="J77" s="100">
        <v>51072250</v>
      </c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</row>
    <row r="78" spans="1:22" s="8" customFormat="1" ht="15">
      <c r="A78" s="164"/>
      <c r="B78" s="498" t="s">
        <v>376</v>
      </c>
      <c r="C78" s="499"/>
      <c r="D78" s="484"/>
      <c r="E78" s="488"/>
      <c r="F78" s="489"/>
      <c r="G78" s="493"/>
      <c r="H78" s="100">
        <v>3475874</v>
      </c>
      <c r="I78" s="100">
        <v>0</v>
      </c>
      <c r="J78" s="100">
        <v>3475874</v>
      </c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</row>
    <row r="79" spans="1:22" s="8" customFormat="1" ht="15">
      <c r="A79" s="164"/>
      <c r="B79" s="498" t="s">
        <v>383</v>
      </c>
      <c r="C79" s="499"/>
      <c r="D79" s="485"/>
      <c r="E79" s="490"/>
      <c r="F79" s="491"/>
      <c r="G79" s="494"/>
      <c r="H79" s="100">
        <v>7060726</v>
      </c>
      <c r="I79" s="100">
        <v>1523850</v>
      </c>
      <c r="J79" s="100">
        <v>5536876</v>
      </c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</row>
    <row r="80" spans="1:22" s="8" customFormat="1" ht="135">
      <c r="A80" s="88">
        <v>13</v>
      </c>
      <c r="B80" s="88" t="s">
        <v>283</v>
      </c>
      <c r="C80" s="88" t="s">
        <v>210</v>
      </c>
      <c r="D80" s="483" t="s">
        <v>201</v>
      </c>
      <c r="E80" s="486" t="s">
        <v>365</v>
      </c>
      <c r="F80" s="487"/>
      <c r="G80" s="492" t="s">
        <v>382</v>
      </c>
      <c r="H80" s="93">
        <f>SUM(H81,H83)</f>
        <v>18380000</v>
      </c>
      <c r="I80" s="93">
        <f t="shared" ref="I80:K80" si="30">SUM(I81,I83)</f>
        <v>205000</v>
      </c>
      <c r="J80" s="93">
        <f t="shared" si="30"/>
        <v>95000</v>
      </c>
      <c r="K80" s="93">
        <f t="shared" si="30"/>
        <v>18080000</v>
      </c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>
        <v>18175000</v>
      </c>
    </row>
    <row r="81" spans="1:22" s="8" customFormat="1" ht="15">
      <c r="A81" s="495" t="s">
        <v>375</v>
      </c>
      <c r="B81" s="496"/>
      <c r="C81" s="497"/>
      <c r="D81" s="484"/>
      <c r="E81" s="488"/>
      <c r="F81" s="489"/>
      <c r="G81" s="493"/>
      <c r="H81" s="100">
        <f>H82</f>
        <v>0</v>
      </c>
      <c r="I81" s="100">
        <f t="shared" ref="I81:K81" si="31">I82</f>
        <v>0</v>
      </c>
      <c r="J81" s="100">
        <f t="shared" si="31"/>
        <v>0</v>
      </c>
      <c r="K81" s="100">
        <f t="shared" si="31"/>
        <v>0</v>
      </c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</row>
    <row r="82" spans="1:22" s="8" customFormat="1" ht="15">
      <c r="A82" s="164"/>
      <c r="B82" s="498" t="s">
        <v>376</v>
      </c>
      <c r="C82" s="499"/>
      <c r="D82" s="484"/>
      <c r="E82" s="488"/>
      <c r="F82" s="489"/>
      <c r="G82" s="493"/>
      <c r="H82" s="100">
        <v>0</v>
      </c>
      <c r="I82" s="100"/>
      <c r="J82" s="100">
        <v>0</v>
      </c>
      <c r="K82" s="100">
        <v>0</v>
      </c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</row>
    <row r="83" spans="1:22" s="8" customFormat="1" ht="15">
      <c r="A83" s="495" t="s">
        <v>362</v>
      </c>
      <c r="B83" s="496"/>
      <c r="C83" s="497"/>
      <c r="D83" s="484"/>
      <c r="E83" s="488"/>
      <c r="F83" s="489"/>
      <c r="G83" s="493"/>
      <c r="H83" s="100">
        <f>SUM(H84:H87)</f>
        <v>18380000</v>
      </c>
      <c r="I83" s="100">
        <f t="shared" ref="I83:K83" si="32">SUM(I84:I87)</f>
        <v>205000</v>
      </c>
      <c r="J83" s="100">
        <f t="shared" si="32"/>
        <v>95000</v>
      </c>
      <c r="K83" s="100">
        <f t="shared" si="32"/>
        <v>18080000</v>
      </c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</row>
    <row r="84" spans="1:22" s="8" customFormat="1" ht="15">
      <c r="A84" s="164"/>
      <c r="B84" s="498" t="s">
        <v>363</v>
      </c>
      <c r="C84" s="499"/>
      <c r="D84" s="484"/>
      <c r="E84" s="488"/>
      <c r="F84" s="489"/>
      <c r="G84" s="493"/>
      <c r="H84" s="100">
        <v>7380000</v>
      </c>
      <c r="I84" s="100">
        <v>0</v>
      </c>
      <c r="J84" s="100">
        <v>0</v>
      </c>
      <c r="K84" s="100">
        <v>7380000</v>
      </c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</row>
    <row r="85" spans="1:22" s="8" customFormat="1" ht="15">
      <c r="A85" s="164"/>
      <c r="B85" s="498" t="s">
        <v>376</v>
      </c>
      <c r="C85" s="499"/>
      <c r="D85" s="484"/>
      <c r="E85" s="488"/>
      <c r="F85" s="489"/>
      <c r="G85" s="493"/>
      <c r="H85" s="100">
        <v>707630</v>
      </c>
      <c r="I85" s="100">
        <v>205000</v>
      </c>
      <c r="J85" s="100">
        <v>95000</v>
      </c>
      <c r="K85" s="100">
        <v>407630</v>
      </c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</row>
    <row r="86" spans="1:22" s="8" customFormat="1" ht="15">
      <c r="A86" s="164"/>
      <c r="B86" s="498" t="s">
        <v>364</v>
      </c>
      <c r="C86" s="499"/>
      <c r="D86" s="484"/>
      <c r="E86" s="488"/>
      <c r="F86" s="489"/>
      <c r="G86" s="493"/>
      <c r="H86" s="100">
        <v>6064970</v>
      </c>
      <c r="I86" s="100">
        <v>0</v>
      </c>
      <c r="J86" s="100">
        <v>0</v>
      </c>
      <c r="K86" s="100">
        <v>6064970</v>
      </c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</row>
    <row r="87" spans="1:22" s="8" customFormat="1" ht="15">
      <c r="A87" s="164"/>
      <c r="B87" s="498" t="s">
        <v>383</v>
      </c>
      <c r="C87" s="499"/>
      <c r="D87" s="485"/>
      <c r="E87" s="490"/>
      <c r="F87" s="491"/>
      <c r="G87" s="494"/>
      <c r="H87" s="100">
        <v>4227400</v>
      </c>
      <c r="I87" s="100">
        <v>0</v>
      </c>
      <c r="J87" s="100">
        <v>0</v>
      </c>
      <c r="K87" s="100">
        <v>4227400</v>
      </c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</row>
    <row r="88" spans="1:22" s="8" customFormat="1" ht="75.75" customHeight="1">
      <c r="A88" s="88">
        <v>14</v>
      </c>
      <c r="B88" s="88" t="s">
        <v>285</v>
      </c>
      <c r="C88" s="88" t="s">
        <v>286</v>
      </c>
      <c r="D88" s="483" t="s">
        <v>287</v>
      </c>
      <c r="E88" s="486" t="s">
        <v>381</v>
      </c>
      <c r="F88" s="487"/>
      <c r="G88" s="492" t="s">
        <v>384</v>
      </c>
      <c r="H88" s="93">
        <f>SUM(H89:H90)</f>
        <v>84644842</v>
      </c>
      <c r="I88" s="93">
        <f>SUM(I89:I90)</f>
        <v>21272910</v>
      </c>
      <c r="J88" s="93">
        <f>SUM(J89:J90)</f>
        <v>50634966</v>
      </c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>
        <v>50634966</v>
      </c>
    </row>
    <row r="89" spans="1:22" s="8" customFormat="1" ht="15">
      <c r="A89" s="495" t="s">
        <v>194</v>
      </c>
      <c r="B89" s="496"/>
      <c r="C89" s="497"/>
      <c r="D89" s="484"/>
      <c r="E89" s="488"/>
      <c r="F89" s="489"/>
      <c r="G89" s="493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</row>
    <row r="90" spans="1:22" s="8" customFormat="1" ht="15">
      <c r="A90" s="495" t="s">
        <v>362</v>
      </c>
      <c r="B90" s="496"/>
      <c r="C90" s="497"/>
      <c r="D90" s="484"/>
      <c r="E90" s="488"/>
      <c r="F90" s="489"/>
      <c r="G90" s="493"/>
      <c r="H90" s="100">
        <f>SUM(H91:H93)</f>
        <v>84644842</v>
      </c>
      <c r="I90" s="100">
        <f t="shared" ref="I90:J90" si="33">SUM(I91:I93)</f>
        <v>21272910</v>
      </c>
      <c r="J90" s="100">
        <f t="shared" si="33"/>
        <v>50634966</v>
      </c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</row>
    <row r="91" spans="1:22" s="8" customFormat="1" ht="15">
      <c r="A91" s="164"/>
      <c r="B91" s="498" t="s">
        <v>363</v>
      </c>
      <c r="C91" s="499"/>
      <c r="D91" s="484"/>
      <c r="E91" s="488"/>
      <c r="F91" s="489"/>
      <c r="G91" s="493"/>
      <c r="H91" s="100">
        <v>41258512</v>
      </c>
      <c r="I91" s="100">
        <v>18081973</v>
      </c>
      <c r="J91" s="100">
        <v>12350119</v>
      </c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</row>
    <row r="92" spans="1:22" s="8" customFormat="1" ht="15">
      <c r="A92" s="164"/>
      <c r="B92" s="498" t="s">
        <v>376</v>
      </c>
      <c r="C92" s="499"/>
      <c r="D92" s="484"/>
      <c r="E92" s="488"/>
      <c r="F92" s="489"/>
      <c r="G92" s="493"/>
      <c r="H92" s="100">
        <v>6589851</v>
      </c>
      <c r="I92" s="100">
        <v>1352526</v>
      </c>
      <c r="J92" s="100">
        <v>3326779</v>
      </c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</row>
    <row r="93" spans="1:22" s="8" customFormat="1" ht="15">
      <c r="A93" s="164"/>
      <c r="B93" s="498" t="s">
        <v>364</v>
      </c>
      <c r="C93" s="499"/>
      <c r="D93" s="485"/>
      <c r="E93" s="490"/>
      <c r="F93" s="491"/>
      <c r="G93" s="494"/>
      <c r="H93" s="100">
        <v>36796479</v>
      </c>
      <c r="I93" s="100">
        <v>1838411</v>
      </c>
      <c r="J93" s="100">
        <v>34958068</v>
      </c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</row>
    <row r="94" spans="1:22" s="8" customFormat="1" ht="78" customHeight="1">
      <c r="A94" s="88">
        <v>15</v>
      </c>
      <c r="B94" s="88" t="s">
        <v>289</v>
      </c>
      <c r="C94" s="98" t="s">
        <v>290</v>
      </c>
      <c r="D94" s="483" t="s">
        <v>287</v>
      </c>
      <c r="E94" s="486" t="s">
        <v>381</v>
      </c>
      <c r="F94" s="487"/>
      <c r="G94" s="492" t="s">
        <v>384</v>
      </c>
      <c r="H94" s="93">
        <f>SUM(H95:H96)</f>
        <v>53370998</v>
      </c>
      <c r="I94" s="93">
        <f t="shared" ref="I94:J94" si="34">SUM(I95:I96)</f>
        <v>15600000</v>
      </c>
      <c r="J94" s="93">
        <f t="shared" si="34"/>
        <v>37770998</v>
      </c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>
        <v>37770998</v>
      </c>
    </row>
    <row r="95" spans="1:22" s="8" customFormat="1" ht="15">
      <c r="A95" s="495" t="s">
        <v>194</v>
      </c>
      <c r="B95" s="496"/>
      <c r="C95" s="497"/>
      <c r="D95" s="484"/>
      <c r="E95" s="488"/>
      <c r="F95" s="489"/>
      <c r="G95" s="493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</row>
    <row r="96" spans="1:22" s="8" customFormat="1" ht="15">
      <c r="A96" s="495" t="s">
        <v>362</v>
      </c>
      <c r="B96" s="496"/>
      <c r="C96" s="497"/>
      <c r="D96" s="484"/>
      <c r="E96" s="488"/>
      <c r="F96" s="489"/>
      <c r="G96" s="493"/>
      <c r="H96" s="100">
        <f>SUM(H97:H99)</f>
        <v>53370998</v>
      </c>
      <c r="I96" s="100">
        <f t="shared" ref="I96:J96" si="35">SUM(I97:I99)</f>
        <v>15600000</v>
      </c>
      <c r="J96" s="100">
        <f t="shared" si="35"/>
        <v>37770998</v>
      </c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</row>
    <row r="97" spans="1:22" s="8" customFormat="1" ht="15">
      <c r="A97" s="164"/>
      <c r="B97" s="498" t="s">
        <v>363</v>
      </c>
      <c r="C97" s="499"/>
      <c r="D97" s="484"/>
      <c r="E97" s="488"/>
      <c r="F97" s="489"/>
      <c r="G97" s="493"/>
      <c r="H97" s="100">
        <v>30359106</v>
      </c>
      <c r="I97" s="100">
        <v>7800000</v>
      </c>
      <c r="J97" s="100">
        <v>22559106</v>
      </c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</row>
    <row r="98" spans="1:22" s="8" customFormat="1" ht="15">
      <c r="A98" s="164"/>
      <c r="B98" s="498" t="s">
        <v>376</v>
      </c>
      <c r="C98" s="499"/>
      <c r="D98" s="484"/>
      <c r="E98" s="488"/>
      <c r="F98" s="489"/>
      <c r="G98" s="493"/>
      <c r="H98" s="100">
        <v>3205993</v>
      </c>
      <c r="I98" s="100">
        <v>780000</v>
      </c>
      <c r="J98" s="100">
        <v>2425993</v>
      </c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</row>
    <row r="99" spans="1:22" s="8" customFormat="1" ht="15">
      <c r="A99" s="164"/>
      <c r="B99" s="498" t="s">
        <v>364</v>
      </c>
      <c r="C99" s="499"/>
      <c r="D99" s="485"/>
      <c r="E99" s="490"/>
      <c r="F99" s="491"/>
      <c r="G99" s="494"/>
      <c r="H99" s="100">
        <v>19805899</v>
      </c>
      <c r="I99" s="100">
        <v>7020000</v>
      </c>
      <c r="J99" s="100">
        <v>12785899</v>
      </c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</row>
    <row r="100" spans="1:22" ht="138.75" customHeight="1">
      <c r="A100" s="104">
        <v>16</v>
      </c>
      <c r="B100" s="104" t="s">
        <v>292</v>
      </c>
      <c r="C100" s="105" t="s">
        <v>290</v>
      </c>
      <c r="D100" s="508" t="s">
        <v>287</v>
      </c>
      <c r="E100" s="511" t="s">
        <v>385</v>
      </c>
      <c r="F100" s="512"/>
      <c r="G100" s="517" t="s">
        <v>384</v>
      </c>
      <c r="H100" s="107">
        <f>SUM(H101:H102)</f>
        <v>41859205</v>
      </c>
      <c r="I100" s="107">
        <f t="shared" ref="I100:K100" si="36">SUM(I101:I102)</f>
        <v>2400000</v>
      </c>
      <c r="J100" s="107">
        <f t="shared" si="36"/>
        <v>18000000</v>
      </c>
      <c r="K100" s="107">
        <f t="shared" si="36"/>
        <v>21159205</v>
      </c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93">
        <v>39159205</v>
      </c>
    </row>
    <row r="101" spans="1:22" ht="15">
      <c r="A101" s="520" t="s">
        <v>194</v>
      </c>
      <c r="B101" s="521"/>
      <c r="C101" s="522"/>
      <c r="D101" s="509"/>
      <c r="E101" s="513"/>
      <c r="F101" s="514"/>
      <c r="G101" s="518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54"/>
    </row>
    <row r="102" spans="1:22" ht="15">
      <c r="A102" s="520" t="s">
        <v>362</v>
      </c>
      <c r="B102" s="521"/>
      <c r="C102" s="522"/>
      <c r="D102" s="509"/>
      <c r="E102" s="513"/>
      <c r="F102" s="514"/>
      <c r="G102" s="518"/>
      <c r="H102" s="113">
        <f>SUM(H103:H105)</f>
        <v>41859205</v>
      </c>
      <c r="I102" s="113">
        <f t="shared" ref="I102:K102" si="37">SUM(I103:I105)</f>
        <v>2400000</v>
      </c>
      <c r="J102" s="113">
        <f t="shared" si="37"/>
        <v>18000000</v>
      </c>
      <c r="K102" s="113">
        <f t="shared" si="37"/>
        <v>21159205</v>
      </c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54"/>
    </row>
    <row r="103" spans="1:22" ht="15">
      <c r="A103" s="169"/>
      <c r="B103" s="523" t="s">
        <v>363</v>
      </c>
      <c r="C103" s="524"/>
      <c r="D103" s="509"/>
      <c r="E103" s="513"/>
      <c r="F103" s="514"/>
      <c r="G103" s="518"/>
      <c r="H103" s="113">
        <v>29865569</v>
      </c>
      <c r="I103" s="113">
        <v>1815603</v>
      </c>
      <c r="J103" s="113">
        <v>13617021</v>
      </c>
      <c r="K103" s="113">
        <v>14432945</v>
      </c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70"/>
    </row>
    <row r="104" spans="1:22" ht="15">
      <c r="A104" s="169"/>
      <c r="B104" s="523" t="s">
        <v>376</v>
      </c>
      <c r="C104" s="524"/>
      <c r="D104" s="509"/>
      <c r="E104" s="513"/>
      <c r="F104" s="514"/>
      <c r="G104" s="518"/>
      <c r="H104" s="113">
        <v>4527244</v>
      </c>
      <c r="I104" s="113">
        <v>130496</v>
      </c>
      <c r="J104" s="113">
        <v>978724</v>
      </c>
      <c r="K104" s="113">
        <v>3118024</v>
      </c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70"/>
    </row>
    <row r="105" spans="1:22" ht="15">
      <c r="A105" s="171"/>
      <c r="B105" s="525" t="s">
        <v>364</v>
      </c>
      <c r="C105" s="526"/>
      <c r="D105" s="510"/>
      <c r="E105" s="515"/>
      <c r="F105" s="516"/>
      <c r="G105" s="519"/>
      <c r="H105" s="113">
        <v>7466392</v>
      </c>
      <c r="I105" s="113">
        <v>453901</v>
      </c>
      <c r="J105" s="113">
        <v>3404255</v>
      </c>
      <c r="K105" s="113">
        <v>3608236</v>
      </c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70"/>
    </row>
    <row r="106" spans="1:22" s="8" customFormat="1" ht="75">
      <c r="A106" s="88">
        <v>17</v>
      </c>
      <c r="B106" s="88" t="s">
        <v>294</v>
      </c>
      <c r="C106" s="98" t="s">
        <v>295</v>
      </c>
      <c r="D106" s="483" t="s">
        <v>287</v>
      </c>
      <c r="E106" s="486" t="s">
        <v>372</v>
      </c>
      <c r="F106" s="487"/>
      <c r="G106" s="492" t="s">
        <v>384</v>
      </c>
      <c r="H106" s="93">
        <f>SUM(H107:H108)</f>
        <v>236800998</v>
      </c>
      <c r="I106" s="93">
        <f t="shared" ref="I106:J106" si="38">SUM(I107:I108)</f>
        <v>117066771</v>
      </c>
      <c r="J106" s="93">
        <f t="shared" si="38"/>
        <v>96328791</v>
      </c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>
        <v>96328791</v>
      </c>
    </row>
    <row r="107" spans="1:22" s="8" customFormat="1" ht="15">
      <c r="A107" s="503" t="s">
        <v>194</v>
      </c>
      <c r="B107" s="504"/>
      <c r="C107" s="505"/>
      <c r="D107" s="484"/>
      <c r="E107" s="488"/>
      <c r="F107" s="489"/>
      <c r="G107" s="493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</row>
    <row r="108" spans="1:22" s="8" customFormat="1" ht="15">
      <c r="A108" s="503" t="s">
        <v>362</v>
      </c>
      <c r="B108" s="504"/>
      <c r="C108" s="505"/>
      <c r="D108" s="484"/>
      <c r="E108" s="488"/>
      <c r="F108" s="489"/>
      <c r="G108" s="493"/>
      <c r="H108" s="100">
        <f>SUM(H109:H110)</f>
        <v>236800998</v>
      </c>
      <c r="I108" s="100">
        <f t="shared" ref="I108:J108" si="39">SUM(I109:I110)</f>
        <v>117066771</v>
      </c>
      <c r="J108" s="100">
        <f t="shared" si="39"/>
        <v>96328791</v>
      </c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</row>
    <row r="109" spans="1:22" s="8" customFormat="1" ht="15">
      <c r="A109" s="164"/>
      <c r="B109" s="506" t="s">
        <v>363</v>
      </c>
      <c r="C109" s="507"/>
      <c r="D109" s="484"/>
      <c r="E109" s="488"/>
      <c r="F109" s="489"/>
      <c r="G109" s="493"/>
      <c r="H109" s="100">
        <v>182585754</v>
      </c>
      <c r="I109" s="100">
        <v>89268019</v>
      </c>
      <c r="J109" s="100">
        <v>75232548</v>
      </c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</row>
    <row r="110" spans="1:22" s="8" customFormat="1" ht="15">
      <c r="A110" s="164"/>
      <c r="B110" s="506" t="s">
        <v>376</v>
      </c>
      <c r="C110" s="507"/>
      <c r="D110" s="485"/>
      <c r="E110" s="490"/>
      <c r="F110" s="491"/>
      <c r="G110" s="494"/>
      <c r="H110" s="100">
        <v>54215244</v>
      </c>
      <c r="I110" s="100">
        <v>27798752</v>
      </c>
      <c r="J110" s="100">
        <v>21096243</v>
      </c>
      <c r="K110" s="166"/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</row>
    <row r="111" spans="1:22" s="8" customFormat="1" ht="153.75" customHeight="1">
      <c r="A111" s="88">
        <v>18</v>
      </c>
      <c r="B111" s="88" t="s">
        <v>297</v>
      </c>
      <c r="C111" s="98" t="s">
        <v>295</v>
      </c>
      <c r="D111" s="483" t="s">
        <v>287</v>
      </c>
      <c r="E111" s="486" t="s">
        <v>386</v>
      </c>
      <c r="F111" s="487"/>
      <c r="G111" s="492" t="s">
        <v>384</v>
      </c>
      <c r="H111" s="93">
        <f>SUM(H112:H113)</f>
        <v>300000000</v>
      </c>
      <c r="I111" s="93">
        <f t="shared" ref="I111:J111" si="40">SUM(I112:I113)</f>
        <v>133151201</v>
      </c>
      <c r="J111" s="93">
        <f t="shared" si="40"/>
        <v>151836858</v>
      </c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>
        <v>151836858</v>
      </c>
    </row>
    <row r="112" spans="1:22" s="8" customFormat="1" ht="15">
      <c r="A112" s="503" t="s">
        <v>194</v>
      </c>
      <c r="B112" s="504"/>
      <c r="C112" s="505"/>
      <c r="D112" s="484"/>
      <c r="E112" s="488"/>
      <c r="F112" s="489"/>
      <c r="G112" s="493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</row>
    <row r="113" spans="1:22" s="8" customFormat="1" ht="15">
      <c r="A113" s="503" t="s">
        <v>362</v>
      </c>
      <c r="B113" s="504"/>
      <c r="C113" s="505"/>
      <c r="D113" s="484"/>
      <c r="E113" s="488"/>
      <c r="F113" s="489"/>
      <c r="G113" s="493"/>
      <c r="H113" s="100">
        <f>SUM(H114:H116)</f>
        <v>300000000</v>
      </c>
      <c r="I113" s="100">
        <f t="shared" ref="I113:J113" si="41">SUM(I114:I116)</f>
        <v>133151201</v>
      </c>
      <c r="J113" s="100">
        <f t="shared" si="41"/>
        <v>151836858</v>
      </c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</row>
    <row r="114" spans="1:22" s="8" customFormat="1" ht="15">
      <c r="A114" s="164"/>
      <c r="B114" s="506" t="s">
        <v>363</v>
      </c>
      <c r="C114" s="507"/>
      <c r="D114" s="484"/>
      <c r="E114" s="488"/>
      <c r="F114" s="489"/>
      <c r="G114" s="493"/>
      <c r="H114" s="100">
        <v>227303191</v>
      </c>
      <c r="I114" s="100">
        <v>100885643</v>
      </c>
      <c r="J114" s="100">
        <v>115180010</v>
      </c>
      <c r="K114" s="166"/>
      <c r="L114" s="166"/>
      <c r="M114" s="166"/>
      <c r="N114" s="166"/>
      <c r="O114" s="166"/>
      <c r="P114" s="166"/>
      <c r="Q114" s="166"/>
      <c r="R114" s="166"/>
      <c r="S114" s="166"/>
      <c r="T114" s="166"/>
      <c r="U114" s="166"/>
      <c r="V114" s="166"/>
    </row>
    <row r="115" spans="1:22" s="8" customFormat="1" ht="15">
      <c r="A115" s="164"/>
      <c r="B115" s="506" t="s">
        <v>376</v>
      </c>
      <c r="C115" s="507"/>
      <c r="D115" s="484"/>
      <c r="E115" s="488"/>
      <c r="F115" s="489"/>
      <c r="G115" s="493"/>
      <c r="H115" s="100">
        <v>70696809</v>
      </c>
      <c r="I115" s="100">
        <v>32265558</v>
      </c>
      <c r="J115" s="100">
        <v>36656848</v>
      </c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</row>
    <row r="116" spans="1:22" s="8" customFormat="1" ht="15">
      <c r="A116" s="164"/>
      <c r="B116" s="498" t="s">
        <v>383</v>
      </c>
      <c r="C116" s="499"/>
      <c r="D116" s="485"/>
      <c r="E116" s="490"/>
      <c r="F116" s="491"/>
      <c r="G116" s="494"/>
      <c r="H116" s="100">
        <v>2000000</v>
      </c>
      <c r="I116" s="100"/>
      <c r="J116" s="100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</row>
    <row r="117" spans="1:22" s="8" customFormat="1" ht="153.75" customHeight="1">
      <c r="A117" s="88">
        <v>19</v>
      </c>
      <c r="B117" s="88" t="s">
        <v>299</v>
      </c>
      <c r="C117" s="98" t="s">
        <v>300</v>
      </c>
      <c r="D117" s="483" t="s">
        <v>287</v>
      </c>
      <c r="E117" s="486" t="s">
        <v>385</v>
      </c>
      <c r="F117" s="487"/>
      <c r="G117" s="492" t="s">
        <v>387</v>
      </c>
      <c r="H117" s="93">
        <f>SUM(H118:H119)</f>
        <v>65919923</v>
      </c>
      <c r="I117" s="93">
        <f t="shared" ref="I117:K117" si="42">SUM(I118:I119)</f>
        <v>28282789</v>
      </c>
      <c r="J117" s="93">
        <f t="shared" si="42"/>
        <v>25929251</v>
      </c>
      <c r="K117" s="93">
        <f t="shared" si="42"/>
        <v>11607883</v>
      </c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>
        <v>37537134</v>
      </c>
    </row>
    <row r="118" spans="1:22" s="8" customFormat="1" ht="15">
      <c r="A118" s="503" t="s">
        <v>194</v>
      </c>
      <c r="B118" s="504"/>
      <c r="C118" s="505"/>
      <c r="D118" s="484"/>
      <c r="E118" s="488"/>
      <c r="F118" s="489"/>
      <c r="G118" s="493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</row>
    <row r="119" spans="1:22" s="8" customFormat="1" ht="15">
      <c r="A119" s="503" t="s">
        <v>362</v>
      </c>
      <c r="B119" s="504"/>
      <c r="C119" s="505"/>
      <c r="D119" s="484"/>
      <c r="E119" s="488"/>
      <c r="F119" s="489"/>
      <c r="G119" s="493"/>
      <c r="H119" s="100">
        <f>SUM(H120:H122)</f>
        <v>65919923</v>
      </c>
      <c r="I119" s="100">
        <f t="shared" ref="I119:K119" si="43">SUM(I120:I122)</f>
        <v>28282789</v>
      </c>
      <c r="J119" s="100">
        <f t="shared" si="43"/>
        <v>25929251</v>
      </c>
      <c r="K119" s="100">
        <f t="shared" si="43"/>
        <v>11607883</v>
      </c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</row>
    <row r="120" spans="1:22" s="8" customFormat="1" ht="15">
      <c r="A120" s="164"/>
      <c r="B120" s="506" t="s">
        <v>363</v>
      </c>
      <c r="C120" s="507"/>
      <c r="D120" s="484"/>
      <c r="E120" s="488"/>
      <c r="F120" s="489"/>
      <c r="G120" s="493"/>
      <c r="H120" s="100">
        <v>55757003</v>
      </c>
      <c r="I120" s="100">
        <v>28282789</v>
      </c>
      <c r="J120" s="100">
        <v>25929251</v>
      </c>
      <c r="K120" s="100">
        <v>1444963</v>
      </c>
      <c r="L120" s="166"/>
      <c r="M120" s="166"/>
      <c r="N120" s="166"/>
      <c r="O120" s="166"/>
      <c r="P120" s="166"/>
      <c r="Q120" s="166"/>
      <c r="R120" s="166"/>
      <c r="S120" s="166"/>
      <c r="T120" s="166"/>
      <c r="U120" s="166"/>
      <c r="V120" s="166"/>
    </row>
    <row r="121" spans="1:22" s="8" customFormat="1" ht="15">
      <c r="A121" s="164"/>
      <c r="B121" s="506" t="s">
        <v>376</v>
      </c>
      <c r="C121" s="507"/>
      <c r="D121" s="484"/>
      <c r="E121" s="488"/>
      <c r="F121" s="489"/>
      <c r="G121" s="493"/>
      <c r="H121" s="100">
        <v>3603272</v>
      </c>
      <c r="I121" s="100">
        <v>0</v>
      </c>
      <c r="J121" s="100">
        <v>0</v>
      </c>
      <c r="K121" s="100">
        <v>3603272</v>
      </c>
      <c r="L121" s="166"/>
      <c r="M121" s="166"/>
      <c r="N121" s="166"/>
      <c r="O121" s="166"/>
      <c r="P121" s="166"/>
      <c r="Q121" s="166"/>
      <c r="R121" s="166"/>
      <c r="S121" s="166"/>
      <c r="T121" s="166"/>
      <c r="U121" s="166"/>
      <c r="V121" s="166"/>
    </row>
    <row r="122" spans="1:22" s="8" customFormat="1" ht="15">
      <c r="A122" s="164"/>
      <c r="B122" s="172" t="s">
        <v>364</v>
      </c>
      <c r="C122" s="173"/>
      <c r="D122" s="485"/>
      <c r="E122" s="490"/>
      <c r="F122" s="491"/>
      <c r="G122" s="494"/>
      <c r="H122" s="100">
        <v>6559648</v>
      </c>
      <c r="I122" s="100">
        <v>0</v>
      </c>
      <c r="J122" s="100">
        <v>0</v>
      </c>
      <c r="K122" s="100">
        <v>6559648</v>
      </c>
      <c r="L122" s="166"/>
      <c r="M122" s="166"/>
      <c r="N122" s="166"/>
      <c r="O122" s="166"/>
      <c r="P122" s="166"/>
      <c r="Q122" s="166"/>
      <c r="R122" s="166"/>
      <c r="S122" s="166"/>
      <c r="T122" s="166"/>
      <c r="U122" s="166"/>
      <c r="V122" s="166"/>
    </row>
    <row r="123" spans="1:22" s="8" customFormat="1" ht="75">
      <c r="A123" s="88">
        <v>20</v>
      </c>
      <c r="B123" s="88" t="s">
        <v>212</v>
      </c>
      <c r="C123" s="88" t="s">
        <v>213</v>
      </c>
      <c r="D123" s="483" t="s">
        <v>201</v>
      </c>
      <c r="E123" s="486" t="s">
        <v>379</v>
      </c>
      <c r="F123" s="487"/>
      <c r="G123" s="492" t="s">
        <v>388</v>
      </c>
      <c r="H123" s="93">
        <f>SUM(H124,H126)</f>
        <v>311129907</v>
      </c>
      <c r="I123" s="93">
        <f t="shared" ref="I123:P123" si="44">SUM(I124,I126)</f>
        <v>74928895</v>
      </c>
      <c r="J123" s="93">
        <f t="shared" si="44"/>
        <v>147186532</v>
      </c>
      <c r="K123" s="93">
        <f t="shared" si="44"/>
        <v>74151727</v>
      </c>
      <c r="L123" s="93">
        <f t="shared" si="44"/>
        <v>2312631</v>
      </c>
      <c r="M123" s="93">
        <f t="shared" si="44"/>
        <v>1623847</v>
      </c>
      <c r="N123" s="93">
        <f t="shared" si="44"/>
        <v>1368759</v>
      </c>
      <c r="O123" s="93">
        <f t="shared" si="44"/>
        <v>3941190</v>
      </c>
      <c r="P123" s="93">
        <f t="shared" si="44"/>
        <v>3713374</v>
      </c>
      <c r="Q123" s="93"/>
      <c r="R123" s="93"/>
      <c r="S123" s="93"/>
      <c r="T123" s="93"/>
      <c r="U123" s="93"/>
      <c r="V123" s="93">
        <v>221338259</v>
      </c>
    </row>
    <row r="124" spans="1:22" s="8" customFormat="1" ht="15">
      <c r="A124" s="503" t="s">
        <v>375</v>
      </c>
      <c r="B124" s="504"/>
      <c r="C124" s="505"/>
      <c r="D124" s="484"/>
      <c r="E124" s="488"/>
      <c r="F124" s="489"/>
      <c r="G124" s="493"/>
      <c r="H124" s="100">
        <f>H125</f>
        <v>10749533</v>
      </c>
      <c r="I124" s="100">
        <f t="shared" ref="I124:P124" si="45">I125</f>
        <v>0</v>
      </c>
      <c r="J124" s="100">
        <f t="shared" si="45"/>
        <v>0</v>
      </c>
      <c r="K124" s="100">
        <f t="shared" si="45"/>
        <v>3442930</v>
      </c>
      <c r="L124" s="100">
        <f t="shared" si="45"/>
        <v>2312631</v>
      </c>
      <c r="M124" s="100">
        <f t="shared" si="45"/>
        <v>1623847</v>
      </c>
      <c r="N124" s="100">
        <f t="shared" si="45"/>
        <v>1368759</v>
      </c>
      <c r="O124" s="100">
        <f t="shared" si="45"/>
        <v>1114591</v>
      </c>
      <c r="P124" s="100">
        <f t="shared" si="45"/>
        <v>886775</v>
      </c>
      <c r="Q124" s="100"/>
      <c r="R124" s="100"/>
      <c r="S124" s="100"/>
      <c r="T124" s="100"/>
      <c r="U124" s="100"/>
      <c r="V124" s="100"/>
    </row>
    <row r="125" spans="1:22" s="8" customFormat="1" ht="15">
      <c r="A125" s="164"/>
      <c r="B125" s="498" t="s">
        <v>376</v>
      </c>
      <c r="C125" s="499"/>
      <c r="D125" s="484"/>
      <c r="E125" s="488"/>
      <c r="F125" s="489"/>
      <c r="G125" s="493"/>
      <c r="H125" s="100">
        <v>10749533</v>
      </c>
      <c r="I125" s="100"/>
      <c r="J125" s="100"/>
      <c r="K125" s="100">
        <v>3442930</v>
      </c>
      <c r="L125" s="100">
        <v>2312631</v>
      </c>
      <c r="M125" s="100">
        <v>1623847</v>
      </c>
      <c r="N125" s="100">
        <v>1368759</v>
      </c>
      <c r="O125" s="100">
        <v>1114591</v>
      </c>
      <c r="P125" s="100">
        <v>886775</v>
      </c>
      <c r="Q125" s="100"/>
      <c r="R125" s="100"/>
      <c r="S125" s="100"/>
      <c r="T125" s="100"/>
      <c r="U125" s="100"/>
      <c r="V125" s="100"/>
    </row>
    <row r="126" spans="1:22" s="8" customFormat="1" ht="15">
      <c r="A126" s="495" t="s">
        <v>362</v>
      </c>
      <c r="B126" s="496"/>
      <c r="C126" s="497"/>
      <c r="D126" s="484"/>
      <c r="E126" s="488"/>
      <c r="F126" s="489"/>
      <c r="G126" s="493"/>
      <c r="H126" s="100">
        <f>SUM(H127:H129)</f>
        <v>300380374</v>
      </c>
      <c r="I126" s="100">
        <f t="shared" ref="I126:P126" si="46">SUM(I127:I129)</f>
        <v>74928895</v>
      </c>
      <c r="J126" s="100">
        <f t="shared" si="46"/>
        <v>147186532</v>
      </c>
      <c r="K126" s="100">
        <f t="shared" si="46"/>
        <v>70708797</v>
      </c>
      <c r="L126" s="100">
        <f t="shared" si="46"/>
        <v>0</v>
      </c>
      <c r="M126" s="100">
        <f t="shared" si="46"/>
        <v>0</v>
      </c>
      <c r="N126" s="100">
        <f t="shared" si="46"/>
        <v>0</v>
      </c>
      <c r="O126" s="100">
        <f t="shared" si="46"/>
        <v>2826599</v>
      </c>
      <c r="P126" s="100">
        <f t="shared" si="46"/>
        <v>2826599</v>
      </c>
      <c r="Q126" s="100"/>
      <c r="R126" s="100"/>
      <c r="S126" s="100"/>
      <c r="T126" s="100"/>
      <c r="U126" s="100"/>
      <c r="V126" s="100"/>
    </row>
    <row r="127" spans="1:22" s="8" customFormat="1" ht="15">
      <c r="A127" s="164"/>
      <c r="B127" s="506" t="s">
        <v>363</v>
      </c>
      <c r="C127" s="507"/>
      <c r="D127" s="484"/>
      <c r="E127" s="488"/>
      <c r="F127" s="489"/>
      <c r="G127" s="493"/>
      <c r="H127" s="100">
        <v>204490344</v>
      </c>
      <c r="I127" s="100">
        <v>52028280</v>
      </c>
      <c r="J127" s="100">
        <v>101962419</v>
      </c>
      <c r="K127" s="100">
        <v>49049915</v>
      </c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</row>
    <row r="128" spans="1:22" s="8" customFormat="1" ht="15">
      <c r="A128" s="164"/>
      <c r="B128" s="506" t="s">
        <v>376</v>
      </c>
      <c r="C128" s="507"/>
      <c r="D128" s="484"/>
      <c r="E128" s="488"/>
      <c r="F128" s="489"/>
      <c r="G128" s="493"/>
      <c r="H128" s="100">
        <v>71832341</v>
      </c>
      <c r="I128" s="100">
        <v>16779641</v>
      </c>
      <c r="J128" s="100">
        <v>33228534</v>
      </c>
      <c r="K128" s="100">
        <v>15888304</v>
      </c>
      <c r="L128" s="100"/>
      <c r="M128" s="100"/>
      <c r="N128" s="100"/>
      <c r="O128" s="100">
        <v>2826599</v>
      </c>
      <c r="P128" s="100">
        <v>2826599</v>
      </c>
      <c r="Q128" s="100"/>
      <c r="R128" s="100"/>
      <c r="S128" s="100"/>
      <c r="T128" s="100"/>
      <c r="U128" s="100"/>
      <c r="V128" s="100"/>
    </row>
    <row r="129" spans="1:22" s="8" customFormat="1" ht="15">
      <c r="A129" s="164"/>
      <c r="B129" s="506" t="s">
        <v>364</v>
      </c>
      <c r="C129" s="507"/>
      <c r="D129" s="485"/>
      <c r="E129" s="490"/>
      <c r="F129" s="491"/>
      <c r="G129" s="494"/>
      <c r="H129" s="100">
        <v>24057689</v>
      </c>
      <c r="I129" s="100">
        <v>6120974</v>
      </c>
      <c r="J129" s="100">
        <v>11995579</v>
      </c>
      <c r="K129" s="100">
        <v>5770578</v>
      </c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</row>
    <row r="130" spans="1:22" s="8" customFormat="1" ht="75">
      <c r="A130" s="88">
        <v>21</v>
      </c>
      <c r="B130" s="96" t="s">
        <v>215</v>
      </c>
      <c r="C130" s="97" t="s">
        <v>216</v>
      </c>
      <c r="D130" s="483" t="s">
        <v>201</v>
      </c>
      <c r="E130" s="486" t="s">
        <v>389</v>
      </c>
      <c r="F130" s="487"/>
      <c r="G130" s="492" t="s">
        <v>388</v>
      </c>
      <c r="H130" s="93">
        <f>SUM(H131,H133)</f>
        <v>89505750</v>
      </c>
      <c r="I130" s="93">
        <f t="shared" ref="I130:N130" si="47">SUM(I131,I133)</f>
        <v>84246632</v>
      </c>
      <c r="J130" s="93">
        <f t="shared" si="47"/>
        <v>32600</v>
      </c>
      <c r="K130" s="93">
        <f t="shared" si="47"/>
        <v>32600</v>
      </c>
      <c r="L130" s="93">
        <f t="shared" si="47"/>
        <v>82600</v>
      </c>
      <c r="M130" s="93">
        <f t="shared" si="47"/>
        <v>82600</v>
      </c>
      <c r="N130" s="93">
        <f t="shared" si="47"/>
        <v>82600</v>
      </c>
      <c r="O130" s="93"/>
      <c r="P130" s="93"/>
      <c r="Q130" s="93"/>
      <c r="R130" s="93"/>
      <c r="S130" s="93"/>
      <c r="T130" s="93"/>
      <c r="U130" s="93"/>
      <c r="V130" s="93">
        <v>65200</v>
      </c>
    </row>
    <row r="131" spans="1:22" s="8" customFormat="1" ht="15">
      <c r="A131" s="503" t="s">
        <v>375</v>
      </c>
      <c r="B131" s="504"/>
      <c r="C131" s="505"/>
      <c r="D131" s="484"/>
      <c r="E131" s="488"/>
      <c r="F131" s="489"/>
      <c r="G131" s="493"/>
      <c r="H131" s="100">
        <f>H132</f>
        <v>335600</v>
      </c>
      <c r="I131" s="100">
        <f t="shared" ref="I131:N131" si="48">I132</f>
        <v>22600</v>
      </c>
      <c r="J131" s="100">
        <f t="shared" si="48"/>
        <v>32600</v>
      </c>
      <c r="K131" s="100">
        <f t="shared" si="48"/>
        <v>32600</v>
      </c>
      <c r="L131" s="100">
        <f t="shared" si="48"/>
        <v>82600</v>
      </c>
      <c r="M131" s="100">
        <f t="shared" si="48"/>
        <v>82600</v>
      </c>
      <c r="N131" s="100">
        <f t="shared" si="48"/>
        <v>82600</v>
      </c>
      <c r="O131" s="100"/>
      <c r="P131" s="100"/>
      <c r="Q131" s="100"/>
      <c r="R131" s="100"/>
      <c r="S131" s="100"/>
      <c r="T131" s="100"/>
      <c r="U131" s="100"/>
      <c r="V131" s="100"/>
    </row>
    <row r="132" spans="1:22" s="8" customFormat="1" ht="15">
      <c r="A132" s="164"/>
      <c r="B132" s="506" t="s">
        <v>376</v>
      </c>
      <c r="C132" s="507"/>
      <c r="D132" s="484"/>
      <c r="E132" s="488"/>
      <c r="F132" s="489"/>
      <c r="G132" s="493"/>
      <c r="H132" s="100">
        <v>335600</v>
      </c>
      <c r="I132" s="100">
        <v>22600</v>
      </c>
      <c r="J132" s="100">
        <v>32600</v>
      </c>
      <c r="K132" s="100">
        <v>32600</v>
      </c>
      <c r="L132" s="100">
        <v>82600</v>
      </c>
      <c r="M132" s="100">
        <v>82600</v>
      </c>
      <c r="N132" s="100">
        <v>82600</v>
      </c>
      <c r="O132" s="100"/>
      <c r="P132" s="100"/>
      <c r="Q132" s="100"/>
      <c r="R132" s="100"/>
      <c r="S132" s="100"/>
      <c r="T132" s="100"/>
      <c r="U132" s="100"/>
      <c r="V132" s="100"/>
    </row>
    <row r="133" spans="1:22" s="8" customFormat="1" ht="15">
      <c r="A133" s="503" t="s">
        <v>362</v>
      </c>
      <c r="B133" s="504"/>
      <c r="C133" s="505"/>
      <c r="D133" s="484"/>
      <c r="E133" s="488"/>
      <c r="F133" s="489"/>
      <c r="G133" s="493"/>
      <c r="H133" s="100">
        <f>SUM(H134:H135)</f>
        <v>89170150</v>
      </c>
      <c r="I133" s="100">
        <f t="shared" ref="I133" si="49">SUM(I134:I135)</f>
        <v>84224032</v>
      </c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</row>
    <row r="134" spans="1:22" s="8" customFormat="1" ht="15">
      <c r="A134" s="164"/>
      <c r="B134" s="506" t="s">
        <v>363</v>
      </c>
      <c r="C134" s="507"/>
      <c r="D134" s="484"/>
      <c r="E134" s="488"/>
      <c r="F134" s="489"/>
      <c r="G134" s="493"/>
      <c r="H134" s="100">
        <v>88467345</v>
      </c>
      <c r="I134" s="100">
        <v>83662014</v>
      </c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</row>
    <row r="135" spans="1:22" s="8" customFormat="1" ht="15">
      <c r="A135" s="164"/>
      <c r="B135" s="506" t="s">
        <v>376</v>
      </c>
      <c r="C135" s="507"/>
      <c r="D135" s="485"/>
      <c r="E135" s="490"/>
      <c r="F135" s="491"/>
      <c r="G135" s="494"/>
      <c r="H135" s="100">
        <v>702805</v>
      </c>
      <c r="I135" s="100">
        <v>562018</v>
      </c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</row>
    <row r="136" spans="1:22" s="8" customFormat="1" ht="90">
      <c r="A136" s="88">
        <v>22</v>
      </c>
      <c r="B136" s="88" t="s">
        <v>219</v>
      </c>
      <c r="C136" s="98" t="s">
        <v>220</v>
      </c>
      <c r="D136" s="483" t="s">
        <v>201</v>
      </c>
      <c r="E136" s="486" t="s">
        <v>389</v>
      </c>
      <c r="F136" s="487"/>
      <c r="G136" s="492" t="s">
        <v>388</v>
      </c>
      <c r="H136" s="93">
        <f>SUM(H137,H139)</f>
        <v>58181754</v>
      </c>
      <c r="I136" s="93">
        <f t="shared" ref="I136:N136" si="50">SUM(I137,I139)</f>
        <v>57514408</v>
      </c>
      <c r="J136" s="93">
        <f t="shared" si="50"/>
        <v>82340</v>
      </c>
      <c r="K136" s="93">
        <f t="shared" si="50"/>
        <v>82340</v>
      </c>
      <c r="L136" s="93">
        <f t="shared" si="50"/>
        <v>82340</v>
      </c>
      <c r="M136" s="93">
        <f t="shared" si="50"/>
        <v>82340</v>
      </c>
      <c r="N136" s="93">
        <f t="shared" si="50"/>
        <v>82340</v>
      </c>
      <c r="O136" s="93"/>
      <c r="P136" s="93"/>
      <c r="Q136" s="93"/>
      <c r="R136" s="93"/>
      <c r="S136" s="93"/>
      <c r="T136" s="93"/>
      <c r="U136" s="93"/>
      <c r="V136" s="93">
        <v>164680</v>
      </c>
    </row>
    <row r="137" spans="1:22" s="8" customFormat="1" ht="15">
      <c r="A137" s="495" t="s">
        <v>375</v>
      </c>
      <c r="B137" s="496"/>
      <c r="C137" s="497"/>
      <c r="D137" s="484"/>
      <c r="E137" s="488"/>
      <c r="F137" s="489"/>
      <c r="G137" s="493"/>
      <c r="H137" s="100">
        <f>H138</f>
        <v>411700</v>
      </c>
      <c r="I137" s="100"/>
      <c r="J137" s="100">
        <f>J138</f>
        <v>82340</v>
      </c>
      <c r="K137" s="100">
        <f t="shared" ref="K137:N137" si="51">K138</f>
        <v>82340</v>
      </c>
      <c r="L137" s="100">
        <f t="shared" si="51"/>
        <v>82340</v>
      </c>
      <c r="M137" s="100">
        <f t="shared" si="51"/>
        <v>82340</v>
      </c>
      <c r="N137" s="100">
        <f t="shared" si="51"/>
        <v>82340</v>
      </c>
      <c r="O137" s="100"/>
      <c r="P137" s="100"/>
      <c r="Q137" s="100"/>
      <c r="R137" s="100"/>
      <c r="S137" s="100"/>
      <c r="T137" s="100"/>
      <c r="U137" s="100"/>
      <c r="V137" s="100"/>
    </row>
    <row r="138" spans="1:22" s="8" customFormat="1" ht="15">
      <c r="A138" s="164"/>
      <c r="B138" s="506" t="s">
        <v>376</v>
      </c>
      <c r="C138" s="507"/>
      <c r="D138" s="484"/>
      <c r="E138" s="488"/>
      <c r="F138" s="489"/>
      <c r="G138" s="493"/>
      <c r="H138" s="100">
        <v>411700</v>
      </c>
      <c r="I138" s="100"/>
      <c r="J138" s="100">
        <v>82340</v>
      </c>
      <c r="K138" s="100">
        <v>82340</v>
      </c>
      <c r="L138" s="100">
        <v>82340</v>
      </c>
      <c r="M138" s="100">
        <v>82340</v>
      </c>
      <c r="N138" s="100">
        <v>82340</v>
      </c>
      <c r="O138" s="100"/>
      <c r="P138" s="100"/>
      <c r="Q138" s="100"/>
      <c r="R138" s="100"/>
      <c r="S138" s="100"/>
      <c r="T138" s="100"/>
      <c r="U138" s="100"/>
      <c r="V138" s="100"/>
    </row>
    <row r="139" spans="1:22" s="8" customFormat="1" ht="15">
      <c r="A139" s="503" t="s">
        <v>362</v>
      </c>
      <c r="B139" s="504"/>
      <c r="C139" s="505"/>
      <c r="D139" s="484"/>
      <c r="E139" s="488"/>
      <c r="F139" s="489"/>
      <c r="G139" s="493"/>
      <c r="H139" s="100">
        <f>SUM(H140:H142)</f>
        <v>57770054</v>
      </c>
      <c r="I139" s="100">
        <f t="shared" ref="I139" si="52">SUM(I140:I142)</f>
        <v>57514408</v>
      </c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</row>
    <row r="140" spans="1:22" s="8" customFormat="1" ht="15">
      <c r="A140" s="164"/>
      <c r="B140" s="506" t="s">
        <v>363</v>
      </c>
      <c r="C140" s="507"/>
      <c r="D140" s="484"/>
      <c r="E140" s="488"/>
      <c r="F140" s="489"/>
      <c r="G140" s="493"/>
      <c r="H140" s="100">
        <v>48994087</v>
      </c>
      <c r="I140" s="100">
        <v>48887246</v>
      </c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</row>
    <row r="141" spans="1:22" s="8" customFormat="1" ht="15">
      <c r="A141" s="164"/>
      <c r="B141" s="506" t="s">
        <v>376</v>
      </c>
      <c r="C141" s="507"/>
      <c r="D141" s="484"/>
      <c r="E141" s="488"/>
      <c r="F141" s="489"/>
      <c r="G141" s="493"/>
      <c r="H141" s="100">
        <v>3011956</v>
      </c>
      <c r="I141" s="100">
        <v>2875721</v>
      </c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</row>
    <row r="142" spans="1:22" s="8" customFormat="1" ht="15">
      <c r="A142" s="164"/>
      <c r="B142" s="506" t="s">
        <v>364</v>
      </c>
      <c r="C142" s="507"/>
      <c r="D142" s="485"/>
      <c r="E142" s="490"/>
      <c r="F142" s="491"/>
      <c r="G142" s="494"/>
      <c r="H142" s="100">
        <v>5764011</v>
      </c>
      <c r="I142" s="100">
        <v>5751441</v>
      </c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</row>
    <row r="143" spans="1:22" s="8" customFormat="1" ht="180">
      <c r="A143" s="88">
        <v>23</v>
      </c>
      <c r="B143" s="88" t="s">
        <v>225</v>
      </c>
      <c r="C143" s="99" t="s">
        <v>226</v>
      </c>
      <c r="D143" s="483" t="s">
        <v>227</v>
      </c>
      <c r="E143" s="486" t="s">
        <v>377</v>
      </c>
      <c r="F143" s="487"/>
      <c r="G143" s="492" t="s">
        <v>390</v>
      </c>
      <c r="H143" s="93">
        <f>SUM(H144,H147)</f>
        <v>6202745</v>
      </c>
      <c r="I143" s="93">
        <f t="shared" ref="I143:K143" si="53">SUM(I144,I147)</f>
        <v>992623</v>
      </c>
      <c r="J143" s="93">
        <f t="shared" si="53"/>
        <v>1021762</v>
      </c>
      <c r="K143" s="93">
        <f t="shared" si="53"/>
        <v>542869</v>
      </c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>
        <v>1564631</v>
      </c>
    </row>
    <row r="144" spans="1:22" s="8" customFormat="1" ht="15">
      <c r="A144" s="503" t="s">
        <v>375</v>
      </c>
      <c r="B144" s="504"/>
      <c r="C144" s="505"/>
      <c r="D144" s="484"/>
      <c r="E144" s="488"/>
      <c r="F144" s="489"/>
      <c r="G144" s="493"/>
      <c r="H144" s="100">
        <f>SUM(H145:H146)</f>
        <v>6135672</v>
      </c>
      <c r="I144" s="100">
        <f t="shared" ref="I144:K144" si="54">SUM(I145:I146)</f>
        <v>992623</v>
      </c>
      <c r="J144" s="100">
        <f t="shared" si="54"/>
        <v>1021762</v>
      </c>
      <c r="K144" s="100">
        <f t="shared" si="54"/>
        <v>542869</v>
      </c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</row>
    <row r="145" spans="1:22" s="8" customFormat="1" ht="15">
      <c r="A145" s="164"/>
      <c r="B145" s="506" t="s">
        <v>363</v>
      </c>
      <c r="C145" s="507"/>
      <c r="D145" s="484"/>
      <c r="E145" s="488"/>
      <c r="F145" s="489"/>
      <c r="G145" s="493"/>
      <c r="H145" s="100">
        <v>5215322</v>
      </c>
      <c r="I145" s="100">
        <v>843730</v>
      </c>
      <c r="J145" s="100">
        <v>868498</v>
      </c>
      <c r="K145" s="100">
        <v>461439</v>
      </c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</row>
    <row r="146" spans="1:22" s="8" customFormat="1" ht="15">
      <c r="A146" s="164"/>
      <c r="B146" s="506" t="s">
        <v>364</v>
      </c>
      <c r="C146" s="507"/>
      <c r="D146" s="484"/>
      <c r="E146" s="488"/>
      <c r="F146" s="489"/>
      <c r="G146" s="493"/>
      <c r="H146" s="100">
        <v>920350</v>
      </c>
      <c r="I146" s="162">
        <v>148893</v>
      </c>
      <c r="J146" s="174">
        <v>153264</v>
      </c>
      <c r="K146" s="163">
        <v>81430</v>
      </c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</row>
    <row r="147" spans="1:22" s="8" customFormat="1" ht="15">
      <c r="A147" s="503" t="s">
        <v>362</v>
      </c>
      <c r="B147" s="504"/>
      <c r="C147" s="505"/>
      <c r="D147" s="484"/>
      <c r="E147" s="488"/>
      <c r="F147" s="489"/>
      <c r="G147" s="493"/>
      <c r="H147" s="100">
        <f>SUM(H148:H149)</f>
        <v>67073</v>
      </c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</row>
    <row r="148" spans="1:22" s="8" customFormat="1" ht="15">
      <c r="A148" s="164"/>
      <c r="B148" s="506" t="s">
        <v>363</v>
      </c>
      <c r="C148" s="507"/>
      <c r="D148" s="484"/>
      <c r="E148" s="488"/>
      <c r="F148" s="489"/>
      <c r="G148" s="493"/>
      <c r="H148" s="100">
        <v>57012</v>
      </c>
      <c r="I148" s="162"/>
      <c r="J148" s="174"/>
      <c r="K148" s="163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</row>
    <row r="149" spans="1:22" s="8" customFormat="1" ht="15">
      <c r="A149" s="164"/>
      <c r="B149" s="506" t="s">
        <v>364</v>
      </c>
      <c r="C149" s="507"/>
      <c r="D149" s="485"/>
      <c r="E149" s="490"/>
      <c r="F149" s="491"/>
      <c r="G149" s="494"/>
      <c r="H149" s="100">
        <v>10061</v>
      </c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</row>
    <row r="150" spans="1:22" s="8" customFormat="1" ht="108" customHeight="1">
      <c r="A150" s="88">
        <v>24</v>
      </c>
      <c r="B150" s="88" t="s">
        <v>222</v>
      </c>
      <c r="C150" s="88" t="s">
        <v>223</v>
      </c>
      <c r="D150" s="483" t="s">
        <v>201</v>
      </c>
      <c r="E150" s="486" t="s">
        <v>373</v>
      </c>
      <c r="F150" s="487"/>
      <c r="G150" s="483" t="s">
        <v>390</v>
      </c>
      <c r="H150" s="93">
        <f>SUM(H151,H153)</f>
        <v>129265930</v>
      </c>
      <c r="I150" s="93">
        <f t="shared" ref="I150:K150" si="55">SUM(I151,I153)</f>
        <v>23000000</v>
      </c>
      <c r="J150" s="93">
        <f t="shared" si="55"/>
        <v>16002161</v>
      </c>
      <c r="K150" s="93">
        <f t="shared" si="55"/>
        <v>10940091</v>
      </c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3">
        <v>26942252</v>
      </c>
    </row>
    <row r="151" spans="1:22" s="8" customFormat="1" ht="15">
      <c r="A151" s="503" t="s">
        <v>375</v>
      </c>
      <c r="B151" s="504"/>
      <c r="C151" s="505"/>
      <c r="D151" s="484"/>
      <c r="E151" s="488"/>
      <c r="F151" s="489"/>
      <c r="G151" s="484"/>
      <c r="H151" s="100">
        <f>H152</f>
        <v>119799940</v>
      </c>
      <c r="I151" s="100">
        <f t="shared" ref="I151:K151" si="56">I152</f>
        <v>22508000</v>
      </c>
      <c r="J151" s="100">
        <f t="shared" si="56"/>
        <v>15481160</v>
      </c>
      <c r="K151" s="100">
        <f t="shared" si="56"/>
        <v>10400594</v>
      </c>
      <c r="L151" s="166"/>
      <c r="M151" s="166"/>
      <c r="N151" s="166"/>
      <c r="O151" s="166"/>
      <c r="P151" s="166"/>
      <c r="Q151" s="166"/>
      <c r="R151" s="166"/>
      <c r="S151" s="166"/>
      <c r="T151" s="166"/>
      <c r="U151" s="166"/>
      <c r="V151" s="166"/>
    </row>
    <row r="152" spans="1:22" s="8" customFormat="1" ht="15">
      <c r="A152" s="164"/>
      <c r="B152" s="506" t="s">
        <v>364</v>
      </c>
      <c r="C152" s="507"/>
      <c r="D152" s="484"/>
      <c r="E152" s="488"/>
      <c r="F152" s="489"/>
      <c r="G152" s="484"/>
      <c r="H152" s="100">
        <v>119799940</v>
      </c>
      <c r="I152" s="100">
        <v>22508000</v>
      </c>
      <c r="J152" s="100">
        <v>15481160</v>
      </c>
      <c r="K152" s="100">
        <f>15481160-5080566</f>
        <v>10400594</v>
      </c>
      <c r="L152" s="166"/>
      <c r="M152" s="166"/>
      <c r="N152" s="166"/>
      <c r="O152" s="166"/>
      <c r="P152" s="166"/>
      <c r="Q152" s="166"/>
      <c r="R152" s="166"/>
      <c r="S152" s="166"/>
      <c r="T152" s="166"/>
      <c r="U152" s="166"/>
      <c r="V152" s="166"/>
    </row>
    <row r="153" spans="1:22" s="8" customFormat="1" ht="15">
      <c r="A153" s="503" t="s">
        <v>362</v>
      </c>
      <c r="B153" s="504"/>
      <c r="C153" s="505"/>
      <c r="D153" s="484"/>
      <c r="E153" s="488"/>
      <c r="F153" s="489"/>
      <c r="G153" s="484"/>
      <c r="H153" s="100">
        <f>H154</f>
        <v>9465990</v>
      </c>
      <c r="I153" s="100">
        <f t="shared" ref="I153:K153" si="57">I154</f>
        <v>492000</v>
      </c>
      <c r="J153" s="100">
        <f t="shared" si="57"/>
        <v>521001</v>
      </c>
      <c r="K153" s="100">
        <f t="shared" si="57"/>
        <v>539497</v>
      </c>
      <c r="L153" s="166"/>
      <c r="M153" s="166"/>
      <c r="N153" s="166"/>
      <c r="O153" s="166"/>
      <c r="P153" s="166"/>
      <c r="Q153" s="166"/>
      <c r="R153" s="166"/>
      <c r="S153" s="166"/>
      <c r="T153" s="166"/>
      <c r="U153" s="166"/>
      <c r="V153" s="166"/>
    </row>
    <row r="154" spans="1:22" s="8" customFormat="1" ht="15">
      <c r="A154" s="164"/>
      <c r="B154" s="506" t="s">
        <v>364</v>
      </c>
      <c r="C154" s="507"/>
      <c r="D154" s="485"/>
      <c r="E154" s="490"/>
      <c r="F154" s="491"/>
      <c r="G154" s="485"/>
      <c r="H154" s="100">
        <v>9465990</v>
      </c>
      <c r="I154" s="100">
        <v>492000</v>
      </c>
      <c r="J154" s="100">
        <v>521001</v>
      </c>
      <c r="K154" s="100">
        <f>521001+18496</f>
        <v>539497</v>
      </c>
      <c r="L154" s="166"/>
      <c r="M154" s="166"/>
      <c r="N154" s="166"/>
      <c r="O154" s="166"/>
      <c r="P154" s="166"/>
      <c r="Q154" s="166"/>
      <c r="R154" s="166"/>
      <c r="S154" s="166"/>
      <c r="T154" s="166"/>
      <c r="U154" s="166"/>
      <c r="V154" s="166"/>
    </row>
    <row r="155" spans="1:22" s="8" customFormat="1" ht="121.5" customHeight="1">
      <c r="A155" s="88">
        <v>25</v>
      </c>
      <c r="B155" s="88" t="s">
        <v>307</v>
      </c>
      <c r="C155" s="88" t="s">
        <v>308</v>
      </c>
      <c r="D155" s="483" t="s">
        <v>201</v>
      </c>
      <c r="E155" s="486" t="s">
        <v>365</v>
      </c>
      <c r="F155" s="487"/>
      <c r="G155" s="527" t="s">
        <v>391</v>
      </c>
      <c r="H155" s="93">
        <f>SUM(H156:H157)</f>
        <v>102080242</v>
      </c>
      <c r="I155" s="93">
        <f t="shared" ref="I155:K155" si="58">SUM(I156:I157)</f>
        <v>19261386</v>
      </c>
      <c r="J155" s="93">
        <f t="shared" si="58"/>
        <v>32402517</v>
      </c>
      <c r="K155" s="93">
        <f t="shared" si="58"/>
        <v>47677410</v>
      </c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>
        <f>27320000+49816778</f>
        <v>77136778</v>
      </c>
    </row>
    <row r="156" spans="1:22" s="8" customFormat="1" ht="15">
      <c r="A156" s="495" t="s">
        <v>194</v>
      </c>
      <c r="B156" s="496"/>
      <c r="C156" s="497"/>
      <c r="D156" s="484"/>
      <c r="E156" s="488"/>
      <c r="F156" s="489"/>
      <c r="G156" s="528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</row>
    <row r="157" spans="1:22" s="8" customFormat="1" ht="15">
      <c r="A157" s="495" t="s">
        <v>362</v>
      </c>
      <c r="B157" s="496"/>
      <c r="C157" s="497"/>
      <c r="D157" s="484"/>
      <c r="E157" s="488"/>
      <c r="F157" s="489"/>
      <c r="G157" s="528"/>
      <c r="H157" s="100">
        <f>SUM(H158:H160)</f>
        <v>102080242</v>
      </c>
      <c r="I157" s="100">
        <f t="shared" ref="I157:K157" si="59">SUM(I158:I160)</f>
        <v>19261386</v>
      </c>
      <c r="J157" s="100">
        <f t="shared" si="59"/>
        <v>32402517</v>
      </c>
      <c r="K157" s="100">
        <f t="shared" si="59"/>
        <v>47677410</v>
      </c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</row>
    <row r="158" spans="1:22" s="8" customFormat="1" ht="15">
      <c r="A158" s="164"/>
      <c r="B158" s="498" t="s">
        <v>363</v>
      </c>
      <c r="C158" s="499"/>
      <c r="D158" s="484"/>
      <c r="E158" s="488"/>
      <c r="F158" s="489"/>
      <c r="G158" s="528"/>
      <c r="H158" s="100">
        <v>40412599</v>
      </c>
      <c r="I158" s="100">
        <v>6866522</v>
      </c>
      <c r="J158" s="100">
        <v>12016413</v>
      </c>
      <c r="K158" s="100">
        <v>21529664</v>
      </c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</row>
    <row r="159" spans="1:22" s="8" customFormat="1" ht="15">
      <c r="A159" s="164"/>
      <c r="B159" s="498" t="s">
        <v>376</v>
      </c>
      <c r="C159" s="499"/>
      <c r="D159" s="484"/>
      <c r="E159" s="488"/>
      <c r="F159" s="489"/>
      <c r="G159" s="528"/>
      <c r="H159" s="100">
        <v>54536008</v>
      </c>
      <c r="I159" s="100">
        <v>11183125</v>
      </c>
      <c r="J159" s="100">
        <v>18265560</v>
      </c>
      <c r="K159" s="100">
        <v>22348394</v>
      </c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</row>
    <row r="160" spans="1:22" s="8" customFormat="1" ht="15">
      <c r="A160" s="164"/>
      <c r="B160" s="506" t="s">
        <v>364</v>
      </c>
      <c r="C160" s="507"/>
      <c r="D160" s="485"/>
      <c r="E160" s="490"/>
      <c r="F160" s="491"/>
      <c r="G160" s="529"/>
      <c r="H160" s="100">
        <v>7131635</v>
      </c>
      <c r="I160" s="100">
        <v>1211739</v>
      </c>
      <c r="J160" s="100">
        <v>2120544</v>
      </c>
      <c r="K160" s="100">
        <v>3799352</v>
      </c>
      <c r="L160" s="166"/>
      <c r="M160" s="166"/>
      <c r="N160" s="166"/>
      <c r="O160" s="166"/>
      <c r="P160" s="166"/>
      <c r="Q160" s="166"/>
      <c r="R160" s="166"/>
      <c r="S160" s="166"/>
      <c r="T160" s="166"/>
      <c r="U160" s="166"/>
      <c r="V160" s="166"/>
    </row>
    <row r="161" spans="1:22" s="8" customFormat="1" ht="151.5" customHeight="1">
      <c r="A161" s="88">
        <v>26</v>
      </c>
      <c r="B161" s="88" t="s">
        <v>229</v>
      </c>
      <c r="C161" s="88" t="s">
        <v>230</v>
      </c>
      <c r="D161" s="483" t="s">
        <v>201</v>
      </c>
      <c r="E161" s="486" t="s">
        <v>386</v>
      </c>
      <c r="F161" s="487"/>
      <c r="G161" s="527" t="s">
        <v>391</v>
      </c>
      <c r="H161" s="93">
        <f>SUM(H162,H165)</f>
        <v>508443</v>
      </c>
      <c r="I161" s="93">
        <f t="shared" ref="I161:J161" si="60">SUM(I162,I165)</f>
        <v>164981</v>
      </c>
      <c r="J161" s="93">
        <f t="shared" si="60"/>
        <v>183981</v>
      </c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>
        <v>183981</v>
      </c>
    </row>
    <row r="162" spans="1:22" s="8" customFormat="1" ht="15">
      <c r="A162" s="495" t="s">
        <v>375</v>
      </c>
      <c r="B162" s="496"/>
      <c r="C162" s="497"/>
      <c r="D162" s="484"/>
      <c r="E162" s="488"/>
      <c r="F162" s="489"/>
      <c r="G162" s="493"/>
      <c r="H162" s="100">
        <f>SUM(H163:H164)</f>
        <v>508443</v>
      </c>
      <c r="I162" s="100">
        <f t="shared" ref="I162:J162" si="61">SUM(I163:I164)</f>
        <v>164981</v>
      </c>
      <c r="J162" s="100">
        <f t="shared" si="61"/>
        <v>183981</v>
      </c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</row>
    <row r="163" spans="1:22" s="8" customFormat="1" ht="15" customHeight="1">
      <c r="A163" s="175"/>
      <c r="B163" s="172" t="s">
        <v>363</v>
      </c>
      <c r="C163" s="176"/>
      <c r="D163" s="484"/>
      <c r="E163" s="488"/>
      <c r="F163" s="489"/>
      <c r="G163" s="493"/>
      <c r="H163" s="100">
        <v>432177</v>
      </c>
      <c r="I163" s="100">
        <v>140234</v>
      </c>
      <c r="J163" s="100">
        <v>156384</v>
      </c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</row>
    <row r="164" spans="1:22" s="8" customFormat="1" ht="15">
      <c r="A164" s="164"/>
      <c r="B164" s="498" t="s">
        <v>376</v>
      </c>
      <c r="C164" s="499"/>
      <c r="D164" s="484"/>
      <c r="E164" s="488"/>
      <c r="F164" s="489"/>
      <c r="G164" s="493"/>
      <c r="H164" s="100">
        <v>76266</v>
      </c>
      <c r="I164" s="100">
        <v>24747</v>
      </c>
      <c r="J164" s="100">
        <v>27597</v>
      </c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</row>
    <row r="165" spans="1:22" s="8" customFormat="1" ht="15">
      <c r="A165" s="495" t="s">
        <v>196</v>
      </c>
      <c r="B165" s="496"/>
      <c r="C165" s="497"/>
      <c r="D165" s="485"/>
      <c r="E165" s="490"/>
      <c r="F165" s="491"/>
      <c r="G165" s="494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</row>
    <row r="166" spans="1:22" s="8" customFormat="1" ht="151.5" customHeight="1">
      <c r="A166" s="88">
        <v>27</v>
      </c>
      <c r="B166" s="88" t="s">
        <v>232</v>
      </c>
      <c r="C166" s="88" t="s">
        <v>233</v>
      </c>
      <c r="D166" s="483" t="s">
        <v>201</v>
      </c>
      <c r="E166" s="486" t="s">
        <v>386</v>
      </c>
      <c r="F166" s="487"/>
      <c r="G166" s="527" t="s">
        <v>391</v>
      </c>
      <c r="H166" s="93">
        <f>SUM(H167,H170)</f>
        <v>512035</v>
      </c>
      <c r="I166" s="93">
        <f t="shared" ref="I166:J166" si="62">SUM(I167,I170)</f>
        <v>210093</v>
      </c>
      <c r="J166" s="93">
        <f t="shared" si="62"/>
        <v>133242</v>
      </c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>
        <v>133242</v>
      </c>
    </row>
    <row r="167" spans="1:22" s="8" customFormat="1" ht="15">
      <c r="A167" s="495" t="s">
        <v>375</v>
      </c>
      <c r="B167" s="496"/>
      <c r="C167" s="497"/>
      <c r="D167" s="484"/>
      <c r="E167" s="488"/>
      <c r="F167" s="489"/>
      <c r="G167" s="493"/>
      <c r="H167" s="100">
        <f>SUM(H168:H169)</f>
        <v>512035</v>
      </c>
      <c r="I167" s="100">
        <f t="shared" ref="I167:J167" si="63">SUM(I168:I169)</f>
        <v>210093</v>
      </c>
      <c r="J167" s="100">
        <f t="shared" si="63"/>
        <v>133242</v>
      </c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</row>
    <row r="168" spans="1:22" s="8" customFormat="1" ht="15" customHeight="1">
      <c r="A168" s="175"/>
      <c r="B168" s="172" t="s">
        <v>363</v>
      </c>
      <c r="C168" s="176"/>
      <c r="D168" s="484"/>
      <c r="E168" s="488"/>
      <c r="F168" s="489"/>
      <c r="G168" s="493"/>
      <c r="H168" s="100">
        <v>435231</v>
      </c>
      <c r="I168" s="100">
        <v>178580</v>
      </c>
      <c r="J168" s="100">
        <v>113256</v>
      </c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</row>
    <row r="169" spans="1:22" s="8" customFormat="1" ht="15">
      <c r="A169" s="164"/>
      <c r="B169" s="498" t="s">
        <v>376</v>
      </c>
      <c r="C169" s="499"/>
      <c r="D169" s="484"/>
      <c r="E169" s="488"/>
      <c r="F169" s="489"/>
      <c r="G169" s="493"/>
      <c r="H169" s="100">
        <v>76804</v>
      </c>
      <c r="I169" s="100">
        <v>31513</v>
      </c>
      <c r="J169" s="100">
        <v>19986</v>
      </c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</row>
    <row r="170" spans="1:22" s="8" customFormat="1" ht="15">
      <c r="A170" s="495" t="s">
        <v>196</v>
      </c>
      <c r="B170" s="496"/>
      <c r="C170" s="497"/>
      <c r="D170" s="484"/>
      <c r="E170" s="488"/>
      <c r="F170" s="489"/>
      <c r="G170" s="493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</row>
    <row r="171" spans="1:22" s="8" customFormat="1" ht="195">
      <c r="A171" s="88">
        <v>28</v>
      </c>
      <c r="B171" s="96" t="s">
        <v>235</v>
      </c>
      <c r="C171" s="97" t="s">
        <v>236</v>
      </c>
      <c r="D171" s="483" t="s">
        <v>237</v>
      </c>
      <c r="E171" s="486" t="s">
        <v>381</v>
      </c>
      <c r="F171" s="487"/>
      <c r="G171" s="492" t="s">
        <v>392</v>
      </c>
      <c r="H171" s="93">
        <f>SUM(H172,H174)</f>
        <v>9350000</v>
      </c>
      <c r="I171" s="93">
        <f t="shared" ref="I171:J171" si="64">SUM(I172,I174)</f>
        <v>3222610</v>
      </c>
      <c r="J171" s="93">
        <f t="shared" si="64"/>
        <v>2518935</v>
      </c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1">
        <v>1716751</v>
      </c>
    </row>
    <row r="172" spans="1:22" s="8" customFormat="1" ht="15">
      <c r="A172" s="503" t="s">
        <v>375</v>
      </c>
      <c r="B172" s="504"/>
      <c r="C172" s="505"/>
      <c r="D172" s="484"/>
      <c r="E172" s="488"/>
      <c r="F172" s="489"/>
      <c r="G172" s="493"/>
      <c r="H172" s="100">
        <f>H173</f>
        <v>8966426</v>
      </c>
      <c r="I172" s="100">
        <f t="shared" ref="I172:J172" si="65">I173</f>
        <v>3222610</v>
      </c>
      <c r="J172" s="100">
        <f t="shared" si="65"/>
        <v>2518935</v>
      </c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1"/>
    </row>
    <row r="173" spans="1:22" s="8" customFormat="1" ht="15">
      <c r="A173" s="164"/>
      <c r="B173" s="506" t="s">
        <v>363</v>
      </c>
      <c r="C173" s="507"/>
      <c r="D173" s="484"/>
      <c r="E173" s="488"/>
      <c r="F173" s="489"/>
      <c r="G173" s="493"/>
      <c r="H173" s="100">
        <v>8966426</v>
      </c>
      <c r="I173" s="100">
        <v>3222610</v>
      </c>
      <c r="J173" s="100">
        <v>2518935</v>
      </c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1"/>
    </row>
    <row r="174" spans="1:22" s="8" customFormat="1" ht="15">
      <c r="A174" s="503" t="s">
        <v>362</v>
      </c>
      <c r="B174" s="504"/>
      <c r="C174" s="505"/>
      <c r="D174" s="484"/>
      <c r="E174" s="488"/>
      <c r="F174" s="489"/>
      <c r="G174" s="493"/>
      <c r="H174" s="100">
        <f>H175</f>
        <v>383574</v>
      </c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1"/>
    </row>
    <row r="175" spans="1:22" s="8" customFormat="1" ht="15">
      <c r="A175" s="164"/>
      <c r="B175" s="506" t="s">
        <v>363</v>
      </c>
      <c r="C175" s="507"/>
      <c r="D175" s="485"/>
      <c r="E175" s="490"/>
      <c r="F175" s="491"/>
      <c r="G175" s="494"/>
      <c r="H175" s="100">
        <v>383574</v>
      </c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1"/>
    </row>
    <row r="176" spans="1:22" s="8" customFormat="1" ht="315">
      <c r="A176" s="88">
        <v>29</v>
      </c>
      <c r="B176" s="88" t="s">
        <v>247</v>
      </c>
      <c r="C176" s="88" t="s">
        <v>248</v>
      </c>
      <c r="D176" s="483" t="s">
        <v>237</v>
      </c>
      <c r="E176" s="486" t="s">
        <v>385</v>
      </c>
      <c r="F176" s="487"/>
      <c r="G176" s="527" t="s">
        <v>392</v>
      </c>
      <c r="H176" s="93">
        <f>SUM(H177,H180)</f>
        <v>5057442</v>
      </c>
      <c r="I176" s="93">
        <f t="shared" ref="I176:K176" si="66">SUM(I177,I180)</f>
        <v>3633445</v>
      </c>
      <c r="J176" s="93">
        <f t="shared" si="66"/>
        <v>1294437</v>
      </c>
      <c r="K176" s="93">
        <f t="shared" si="66"/>
        <v>129560</v>
      </c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>
        <v>1423997</v>
      </c>
    </row>
    <row r="177" spans="1:22" s="8" customFormat="1" ht="15">
      <c r="A177" s="495" t="s">
        <v>375</v>
      </c>
      <c r="B177" s="496"/>
      <c r="C177" s="497"/>
      <c r="D177" s="484"/>
      <c r="E177" s="488"/>
      <c r="F177" s="489"/>
      <c r="G177" s="493"/>
      <c r="H177" s="100">
        <f>SUM(H178:H179)</f>
        <v>5057442</v>
      </c>
      <c r="I177" s="100">
        <f t="shared" ref="I177:K177" si="67">SUM(I178:I179)</f>
        <v>3633445</v>
      </c>
      <c r="J177" s="100">
        <f t="shared" si="67"/>
        <v>1294437</v>
      </c>
      <c r="K177" s="100">
        <f t="shared" si="67"/>
        <v>129560</v>
      </c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</row>
    <row r="178" spans="1:22" s="8" customFormat="1" ht="15" customHeight="1">
      <c r="A178" s="175"/>
      <c r="B178" s="172" t="s">
        <v>363</v>
      </c>
      <c r="C178" s="176"/>
      <c r="D178" s="484"/>
      <c r="E178" s="488"/>
      <c r="F178" s="489"/>
      <c r="G178" s="493"/>
      <c r="H178" s="100">
        <v>4919237</v>
      </c>
      <c r="I178" s="100">
        <v>3534153</v>
      </c>
      <c r="J178" s="100">
        <v>1259064</v>
      </c>
      <c r="K178" s="100">
        <v>126020</v>
      </c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</row>
    <row r="179" spans="1:22" s="8" customFormat="1" ht="15">
      <c r="A179" s="164"/>
      <c r="B179" s="498" t="s">
        <v>364</v>
      </c>
      <c r="C179" s="499"/>
      <c r="D179" s="484"/>
      <c r="E179" s="488"/>
      <c r="F179" s="489"/>
      <c r="G179" s="493"/>
      <c r="H179" s="100">
        <v>138205</v>
      </c>
      <c r="I179" s="100">
        <v>99292</v>
      </c>
      <c r="J179" s="100">
        <v>35373</v>
      </c>
      <c r="K179" s="100">
        <v>3540</v>
      </c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</row>
    <row r="180" spans="1:22" s="8" customFormat="1" ht="15">
      <c r="A180" s="495" t="s">
        <v>196</v>
      </c>
      <c r="B180" s="496"/>
      <c r="C180" s="497"/>
      <c r="D180" s="484"/>
      <c r="E180" s="488"/>
      <c r="F180" s="489"/>
      <c r="G180" s="493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</row>
    <row r="181" spans="1:22" s="8" customFormat="1" ht="150">
      <c r="A181" s="88">
        <v>30</v>
      </c>
      <c r="B181" s="96" t="s">
        <v>239</v>
      </c>
      <c r="C181" s="97" t="s">
        <v>240</v>
      </c>
      <c r="D181" s="483" t="s">
        <v>241</v>
      </c>
      <c r="E181" s="486" t="s">
        <v>386</v>
      </c>
      <c r="F181" s="487"/>
      <c r="G181" s="492" t="s">
        <v>393</v>
      </c>
      <c r="H181" s="93">
        <f>SUM(H182,H185)</f>
        <v>64454092</v>
      </c>
      <c r="I181" s="93">
        <f t="shared" ref="I181:J181" si="68">SUM(I182,I185)</f>
        <v>24939519</v>
      </c>
      <c r="J181" s="93">
        <f t="shared" si="68"/>
        <v>31366449</v>
      </c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1">
        <f>31234623+131817</f>
        <v>31366440</v>
      </c>
    </row>
    <row r="182" spans="1:22" s="8" customFormat="1" ht="15">
      <c r="A182" s="503" t="s">
        <v>375</v>
      </c>
      <c r="B182" s="504"/>
      <c r="C182" s="505"/>
      <c r="D182" s="484"/>
      <c r="E182" s="488"/>
      <c r="F182" s="489"/>
      <c r="G182" s="493"/>
      <c r="H182" s="100">
        <f>SUM(H183:H184)</f>
        <v>62402803</v>
      </c>
      <c r="I182" s="100">
        <f t="shared" ref="I182:J182" si="69">SUM(I183:I184)</f>
        <v>22934772</v>
      </c>
      <c r="J182" s="100">
        <f t="shared" si="69"/>
        <v>31342948</v>
      </c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1"/>
    </row>
    <row r="183" spans="1:22" s="8" customFormat="1" ht="15">
      <c r="A183" s="164"/>
      <c r="B183" s="506" t="s">
        <v>363</v>
      </c>
      <c r="C183" s="507"/>
      <c r="D183" s="484"/>
      <c r="E183" s="488"/>
      <c r="F183" s="489"/>
      <c r="G183" s="493"/>
      <c r="H183" s="100">
        <v>60609286</v>
      </c>
      <c r="I183" s="100">
        <v>22297396</v>
      </c>
      <c r="J183" s="100">
        <v>30361630</v>
      </c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1"/>
    </row>
    <row r="184" spans="1:22" s="8" customFormat="1" ht="15">
      <c r="A184" s="164"/>
      <c r="B184" s="172" t="s">
        <v>364</v>
      </c>
      <c r="C184" s="173"/>
      <c r="D184" s="484"/>
      <c r="E184" s="488"/>
      <c r="F184" s="489"/>
      <c r="G184" s="493"/>
      <c r="H184" s="100">
        <v>1793517</v>
      </c>
      <c r="I184" s="100">
        <v>637376</v>
      </c>
      <c r="J184" s="100">
        <v>981318</v>
      </c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1"/>
    </row>
    <row r="185" spans="1:22" s="8" customFormat="1" ht="15">
      <c r="A185" s="503" t="s">
        <v>362</v>
      </c>
      <c r="B185" s="504"/>
      <c r="C185" s="505"/>
      <c r="D185" s="484"/>
      <c r="E185" s="488"/>
      <c r="F185" s="489"/>
      <c r="G185" s="493"/>
      <c r="H185" s="100">
        <f>SUM(H186:H187)</f>
        <v>2051289</v>
      </c>
      <c r="I185" s="100">
        <f t="shared" ref="I185:J185" si="70">SUM(I186:I187)</f>
        <v>2004747</v>
      </c>
      <c r="J185" s="100">
        <f t="shared" si="70"/>
        <v>23501</v>
      </c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1"/>
    </row>
    <row r="186" spans="1:22" s="8" customFormat="1" ht="15">
      <c r="A186" s="164"/>
      <c r="B186" s="506" t="s">
        <v>363</v>
      </c>
      <c r="C186" s="507"/>
      <c r="D186" s="484"/>
      <c r="E186" s="488"/>
      <c r="F186" s="489"/>
      <c r="G186" s="493"/>
      <c r="H186" s="100">
        <v>2015512</v>
      </c>
      <c r="I186" s="100">
        <v>1970018</v>
      </c>
      <c r="J186" s="100">
        <v>23281</v>
      </c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1"/>
    </row>
    <row r="187" spans="1:22" s="8" customFormat="1" ht="15">
      <c r="A187" s="164"/>
      <c r="B187" s="172" t="s">
        <v>364</v>
      </c>
      <c r="C187" s="173"/>
      <c r="D187" s="485"/>
      <c r="E187" s="490"/>
      <c r="F187" s="491"/>
      <c r="G187" s="494"/>
      <c r="H187" s="100">
        <v>35777</v>
      </c>
      <c r="I187" s="100">
        <v>34729</v>
      </c>
      <c r="J187" s="100">
        <v>220</v>
      </c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1"/>
    </row>
    <row r="188" spans="1:22" s="8" customFormat="1" ht="135">
      <c r="A188" s="88">
        <v>31</v>
      </c>
      <c r="B188" s="96" t="s">
        <v>243</v>
      </c>
      <c r="C188" s="97" t="s">
        <v>244</v>
      </c>
      <c r="D188" s="483" t="s">
        <v>245</v>
      </c>
      <c r="E188" s="486" t="s">
        <v>385</v>
      </c>
      <c r="F188" s="487"/>
      <c r="G188" s="492" t="s">
        <v>394</v>
      </c>
      <c r="H188" s="93">
        <f>SUM(H189,H192)</f>
        <v>16381341</v>
      </c>
      <c r="I188" s="93">
        <f t="shared" ref="I188:K188" si="71">SUM(I189,I192)</f>
        <v>10978425</v>
      </c>
      <c r="J188" s="93">
        <f t="shared" si="71"/>
        <v>4115601</v>
      </c>
      <c r="K188" s="93">
        <f t="shared" si="71"/>
        <v>855604</v>
      </c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>
        <v>4971205</v>
      </c>
    </row>
    <row r="189" spans="1:22" s="8" customFormat="1" ht="15">
      <c r="A189" s="503" t="s">
        <v>375</v>
      </c>
      <c r="B189" s="504"/>
      <c r="C189" s="505"/>
      <c r="D189" s="484"/>
      <c r="E189" s="488"/>
      <c r="F189" s="489"/>
      <c r="G189" s="493"/>
      <c r="H189" s="100">
        <f>SUM(H190:H191)</f>
        <v>4147140</v>
      </c>
      <c r="I189" s="100">
        <f t="shared" ref="I189:K189" si="72">SUM(I190:I191)</f>
        <v>2281812</v>
      </c>
      <c r="J189" s="100">
        <f t="shared" si="72"/>
        <v>1115601</v>
      </c>
      <c r="K189" s="100">
        <f t="shared" si="72"/>
        <v>352293</v>
      </c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</row>
    <row r="190" spans="1:22" s="8" customFormat="1" ht="15">
      <c r="A190" s="164"/>
      <c r="B190" s="506" t="s">
        <v>363</v>
      </c>
      <c r="C190" s="507"/>
      <c r="D190" s="484"/>
      <c r="E190" s="488"/>
      <c r="F190" s="489"/>
      <c r="G190" s="493"/>
      <c r="H190" s="100">
        <v>3658905</v>
      </c>
      <c r="I190" s="100">
        <v>2042154</v>
      </c>
      <c r="J190" s="100">
        <v>979483</v>
      </c>
      <c r="K190" s="100">
        <v>299449</v>
      </c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</row>
    <row r="191" spans="1:22" s="8" customFormat="1" ht="15">
      <c r="A191" s="164"/>
      <c r="B191" s="506" t="s">
        <v>376</v>
      </c>
      <c r="C191" s="507"/>
      <c r="D191" s="484"/>
      <c r="E191" s="488"/>
      <c r="F191" s="489"/>
      <c r="G191" s="493"/>
      <c r="H191" s="100">
        <v>488235</v>
      </c>
      <c r="I191" s="100">
        <v>239658</v>
      </c>
      <c r="J191" s="100">
        <v>136118</v>
      </c>
      <c r="K191" s="100">
        <v>52844</v>
      </c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</row>
    <row r="192" spans="1:22" s="8" customFormat="1" ht="15">
      <c r="A192" s="503" t="s">
        <v>362</v>
      </c>
      <c r="B192" s="504"/>
      <c r="C192" s="505"/>
      <c r="D192" s="484"/>
      <c r="E192" s="488"/>
      <c r="F192" s="489"/>
      <c r="G192" s="493"/>
      <c r="H192" s="100">
        <f>SUM(H193:H194)</f>
        <v>12234201</v>
      </c>
      <c r="I192" s="100">
        <f t="shared" ref="I192:K192" si="73">SUM(I193:I194)</f>
        <v>8696613</v>
      </c>
      <c r="J192" s="100">
        <f t="shared" si="73"/>
        <v>3000000</v>
      </c>
      <c r="K192" s="100">
        <f t="shared" si="73"/>
        <v>503311</v>
      </c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</row>
    <row r="193" spans="1:24" s="8" customFormat="1" ht="15">
      <c r="A193" s="164"/>
      <c r="B193" s="506" t="s">
        <v>363</v>
      </c>
      <c r="C193" s="507"/>
      <c r="D193" s="484"/>
      <c r="E193" s="488"/>
      <c r="F193" s="489"/>
      <c r="G193" s="493"/>
      <c r="H193" s="100">
        <v>12229059</v>
      </c>
      <c r="I193" s="100">
        <v>8696613</v>
      </c>
      <c r="J193" s="100">
        <v>3000000</v>
      </c>
      <c r="K193" s="100">
        <v>503311</v>
      </c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</row>
    <row r="194" spans="1:24" s="8" customFormat="1" ht="15">
      <c r="A194" s="164"/>
      <c r="B194" s="506" t="s">
        <v>376</v>
      </c>
      <c r="C194" s="507"/>
      <c r="D194" s="485"/>
      <c r="E194" s="490"/>
      <c r="F194" s="491"/>
      <c r="G194" s="494"/>
      <c r="H194" s="100">
        <v>5142</v>
      </c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</row>
    <row r="195" spans="1:24" s="8" customFormat="1" ht="35.25" customHeight="1">
      <c r="A195" s="177">
        <v>32</v>
      </c>
      <c r="B195" s="96" t="s">
        <v>250</v>
      </c>
      <c r="C195" s="97" t="s">
        <v>251</v>
      </c>
      <c r="D195" s="483" t="s">
        <v>241</v>
      </c>
      <c r="E195" s="486" t="s">
        <v>365</v>
      </c>
      <c r="F195" s="487"/>
      <c r="G195" s="483" t="s">
        <v>395</v>
      </c>
      <c r="H195" s="93">
        <f>SUM(H196,H199)</f>
        <v>72456825</v>
      </c>
      <c r="I195" s="93">
        <f t="shared" ref="I195:K195" si="74">SUM(I196,I199)</f>
        <v>17803200</v>
      </c>
      <c r="J195" s="93">
        <f t="shared" si="74"/>
        <v>15506200</v>
      </c>
      <c r="K195" s="93">
        <f t="shared" si="74"/>
        <v>11508000</v>
      </c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3">
        <v>0</v>
      </c>
    </row>
    <row r="196" spans="1:24" s="8" customFormat="1" ht="15">
      <c r="A196" s="503" t="s">
        <v>375</v>
      </c>
      <c r="B196" s="504"/>
      <c r="C196" s="505"/>
      <c r="D196" s="484"/>
      <c r="E196" s="488"/>
      <c r="F196" s="489"/>
      <c r="G196" s="484"/>
      <c r="H196" s="100">
        <f>SUM(H197:H198)</f>
        <v>72456825</v>
      </c>
      <c r="I196" s="100">
        <f t="shared" ref="I196:K196" si="75">SUM(I197:I198)</f>
        <v>17803200</v>
      </c>
      <c r="J196" s="100">
        <f t="shared" si="75"/>
        <v>15506200</v>
      </c>
      <c r="K196" s="100">
        <f t="shared" si="75"/>
        <v>11508000</v>
      </c>
      <c r="L196" s="166"/>
      <c r="M196" s="166"/>
      <c r="N196" s="166"/>
      <c r="O196" s="166"/>
      <c r="P196" s="166"/>
      <c r="Q196" s="166"/>
      <c r="R196" s="166"/>
      <c r="S196" s="166"/>
      <c r="T196" s="166"/>
      <c r="U196" s="166"/>
      <c r="V196" s="166"/>
    </row>
    <row r="197" spans="1:24" s="8" customFormat="1" ht="15">
      <c r="A197" s="178"/>
      <c r="B197" s="506" t="s">
        <v>376</v>
      </c>
      <c r="C197" s="507"/>
      <c r="D197" s="484"/>
      <c r="E197" s="488"/>
      <c r="F197" s="489"/>
      <c r="G197" s="484"/>
      <c r="H197" s="100">
        <v>10017185</v>
      </c>
      <c r="I197" s="100">
        <v>2421078</v>
      </c>
      <c r="J197" s="100">
        <v>2159763</v>
      </c>
      <c r="K197" s="100">
        <v>1726200</v>
      </c>
      <c r="L197" s="166"/>
      <c r="M197" s="166"/>
      <c r="N197" s="166"/>
      <c r="O197" s="166"/>
      <c r="P197" s="166"/>
      <c r="Q197" s="166"/>
      <c r="R197" s="166"/>
      <c r="S197" s="166"/>
      <c r="T197" s="166"/>
      <c r="U197" s="166"/>
      <c r="V197" s="166"/>
    </row>
    <row r="198" spans="1:24" s="8" customFormat="1" ht="15">
      <c r="A198" s="178"/>
      <c r="B198" s="506" t="s">
        <v>364</v>
      </c>
      <c r="C198" s="507"/>
      <c r="D198" s="484"/>
      <c r="E198" s="488"/>
      <c r="F198" s="489"/>
      <c r="G198" s="484"/>
      <c r="H198" s="100">
        <v>62439640</v>
      </c>
      <c r="I198" s="100">
        <v>15382122</v>
      </c>
      <c r="J198" s="100">
        <v>13346437</v>
      </c>
      <c r="K198" s="100">
        <v>9781800</v>
      </c>
      <c r="L198" s="166"/>
      <c r="M198" s="166"/>
      <c r="N198" s="166"/>
      <c r="O198" s="166"/>
      <c r="P198" s="166"/>
      <c r="Q198" s="166"/>
      <c r="R198" s="166"/>
      <c r="S198" s="166"/>
      <c r="T198" s="166"/>
      <c r="U198" s="166"/>
      <c r="V198" s="166"/>
    </row>
    <row r="199" spans="1:24" s="8" customFormat="1" ht="15">
      <c r="A199" s="503" t="s">
        <v>196</v>
      </c>
      <c r="B199" s="504"/>
      <c r="C199" s="505"/>
      <c r="D199" s="485"/>
      <c r="E199" s="490"/>
      <c r="F199" s="491"/>
      <c r="G199" s="485"/>
      <c r="H199" s="100"/>
      <c r="I199" s="100"/>
      <c r="J199" s="100"/>
      <c r="K199" s="100"/>
      <c r="L199" s="166"/>
      <c r="M199" s="166"/>
      <c r="N199" s="166"/>
      <c r="O199" s="166"/>
      <c r="P199" s="166"/>
      <c r="Q199" s="166"/>
      <c r="R199" s="166"/>
      <c r="S199" s="166"/>
      <c r="T199" s="166"/>
      <c r="U199" s="166"/>
      <c r="V199" s="166"/>
    </row>
    <row r="200" spans="1:24" ht="15">
      <c r="A200" s="109"/>
      <c r="B200" s="110"/>
      <c r="C200" s="110"/>
      <c r="D200" s="109"/>
      <c r="E200" s="473"/>
      <c r="F200" s="474"/>
      <c r="G200" s="179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</row>
    <row r="201" spans="1:24" s="157" customFormat="1" ht="15">
      <c r="A201" s="465" t="s">
        <v>396</v>
      </c>
      <c r="B201" s="466"/>
      <c r="C201" s="466"/>
      <c r="D201" s="466"/>
      <c r="E201" s="466"/>
      <c r="F201" s="466"/>
      <c r="G201" s="467"/>
      <c r="H201" s="155">
        <v>0</v>
      </c>
      <c r="I201" s="155">
        <f t="shared" ref="I201:U201" si="76">SUM(I202:I203)</f>
        <v>0</v>
      </c>
      <c r="J201" s="155">
        <f t="shared" si="76"/>
        <v>0</v>
      </c>
      <c r="K201" s="155">
        <f t="shared" si="76"/>
        <v>0</v>
      </c>
      <c r="L201" s="155">
        <f t="shared" si="76"/>
        <v>0</v>
      </c>
      <c r="M201" s="155">
        <f t="shared" si="76"/>
        <v>0</v>
      </c>
      <c r="N201" s="155">
        <f t="shared" si="76"/>
        <v>0</v>
      </c>
      <c r="O201" s="155">
        <f t="shared" si="76"/>
        <v>0</v>
      </c>
      <c r="P201" s="155">
        <f t="shared" si="76"/>
        <v>0</v>
      </c>
      <c r="Q201" s="155">
        <f t="shared" si="76"/>
        <v>0</v>
      </c>
      <c r="R201" s="155">
        <f t="shared" si="76"/>
        <v>0</v>
      </c>
      <c r="S201" s="155">
        <f t="shared" si="76"/>
        <v>0</v>
      </c>
      <c r="T201" s="155">
        <f t="shared" si="76"/>
        <v>0</v>
      </c>
      <c r="U201" s="155">
        <f t="shared" si="76"/>
        <v>0</v>
      </c>
      <c r="V201" s="155">
        <v>0</v>
      </c>
    </row>
    <row r="202" spans="1:24" s="157" customFormat="1" ht="15">
      <c r="A202" s="468" t="s">
        <v>194</v>
      </c>
      <c r="B202" s="469"/>
      <c r="C202" s="470"/>
      <c r="D202" s="159"/>
      <c r="E202" s="471"/>
      <c r="F202" s="472"/>
      <c r="G202" s="160"/>
      <c r="H202" s="155">
        <v>0</v>
      </c>
      <c r="I202" s="155">
        <v>0</v>
      </c>
      <c r="J202" s="155">
        <v>0</v>
      </c>
      <c r="K202" s="155">
        <v>0</v>
      </c>
      <c r="L202" s="155">
        <v>0</v>
      </c>
      <c r="M202" s="155">
        <v>0</v>
      </c>
      <c r="N202" s="155">
        <v>0</v>
      </c>
      <c r="O202" s="155">
        <v>0</v>
      </c>
      <c r="P202" s="155">
        <v>0</v>
      </c>
      <c r="Q202" s="155">
        <v>0</v>
      </c>
      <c r="R202" s="155">
        <v>0</v>
      </c>
      <c r="S202" s="155">
        <v>0</v>
      </c>
      <c r="T202" s="155">
        <v>0</v>
      </c>
      <c r="U202" s="155">
        <v>0</v>
      </c>
      <c r="V202" s="155"/>
    </row>
    <row r="203" spans="1:24" s="157" customFormat="1" ht="15">
      <c r="A203" s="468" t="s">
        <v>196</v>
      </c>
      <c r="B203" s="469"/>
      <c r="C203" s="470"/>
      <c r="D203" s="159"/>
      <c r="E203" s="471"/>
      <c r="F203" s="472"/>
      <c r="G203" s="160"/>
      <c r="H203" s="155">
        <v>0</v>
      </c>
      <c r="I203" s="155">
        <v>0</v>
      </c>
      <c r="J203" s="155">
        <v>0</v>
      </c>
      <c r="K203" s="155">
        <v>0</v>
      </c>
      <c r="L203" s="155">
        <v>0</v>
      </c>
      <c r="M203" s="155">
        <v>0</v>
      </c>
      <c r="N203" s="155">
        <v>0</v>
      </c>
      <c r="O203" s="155">
        <v>0</v>
      </c>
      <c r="P203" s="155">
        <v>0</v>
      </c>
      <c r="Q203" s="155">
        <v>0</v>
      </c>
      <c r="R203" s="155">
        <v>0</v>
      </c>
      <c r="S203" s="155">
        <v>0</v>
      </c>
      <c r="T203" s="155">
        <v>0</v>
      </c>
      <c r="U203" s="155">
        <v>0</v>
      </c>
      <c r="V203" s="155"/>
    </row>
    <row r="204" spans="1:24" ht="15">
      <c r="A204" s="109"/>
      <c r="B204" s="110"/>
      <c r="C204" s="110"/>
      <c r="D204" s="109"/>
      <c r="E204" s="473"/>
      <c r="F204" s="474"/>
      <c r="G204" s="179"/>
      <c r="H204" s="113"/>
      <c r="I204" s="113"/>
      <c r="J204" s="113"/>
      <c r="K204" s="113"/>
      <c r="L204" s="113"/>
      <c r="M204" s="113"/>
      <c r="N204" s="113"/>
      <c r="O204" s="113"/>
      <c r="P204" s="122"/>
      <c r="Q204" s="122"/>
      <c r="R204" s="122"/>
      <c r="S204" s="122"/>
      <c r="T204" s="122"/>
      <c r="U204" s="122"/>
      <c r="V204" s="122"/>
    </row>
    <row r="205" spans="1:24" s="157" customFormat="1" ht="15">
      <c r="A205" s="465" t="s">
        <v>397</v>
      </c>
      <c r="B205" s="466"/>
      <c r="C205" s="466"/>
      <c r="D205" s="466"/>
      <c r="E205" s="466"/>
      <c r="F205" s="466"/>
      <c r="G205" s="467"/>
      <c r="H205" s="155">
        <f>SUM(H206:H207)</f>
        <v>569757602</v>
      </c>
      <c r="I205" s="155">
        <f>SUM(I206:I207)</f>
        <v>120198865</v>
      </c>
      <c r="J205" s="155">
        <f t="shared" ref="J205:U205" si="77">SUM(J206:J207)</f>
        <v>88244718</v>
      </c>
      <c r="K205" s="155">
        <f t="shared" si="77"/>
        <v>38878048</v>
      </c>
      <c r="L205" s="155">
        <f t="shared" si="77"/>
        <v>19987170</v>
      </c>
      <c r="M205" s="155">
        <f t="shared" si="77"/>
        <v>16259189</v>
      </c>
      <c r="N205" s="155">
        <f t="shared" si="77"/>
        <v>16875491</v>
      </c>
      <c r="O205" s="155">
        <f t="shared" si="77"/>
        <v>1875491</v>
      </c>
      <c r="P205" s="155">
        <f t="shared" si="77"/>
        <v>1875491</v>
      </c>
      <c r="Q205" s="155">
        <f t="shared" si="77"/>
        <v>200000</v>
      </c>
      <c r="R205" s="155">
        <f t="shared" si="77"/>
        <v>200000</v>
      </c>
      <c r="S205" s="155">
        <f t="shared" si="77"/>
        <v>200000</v>
      </c>
      <c r="T205" s="155">
        <f t="shared" si="77"/>
        <v>200000</v>
      </c>
      <c r="U205" s="155">
        <f t="shared" si="77"/>
        <v>200000</v>
      </c>
      <c r="V205" s="180">
        <f>SUM(V208,V52,V59,V212,V217,V222,V238,V243,V247,V150,V255,V259,V263,V267,V271,V275,V251,V228,V233,)</f>
        <v>76169023</v>
      </c>
      <c r="X205" s="158"/>
    </row>
    <row r="206" spans="1:24" s="157" customFormat="1" ht="15">
      <c r="A206" s="468" t="s">
        <v>194</v>
      </c>
      <c r="B206" s="469"/>
      <c r="C206" s="470"/>
      <c r="D206" s="159"/>
      <c r="E206" s="471"/>
      <c r="F206" s="472"/>
      <c r="G206" s="160"/>
      <c r="H206" s="155">
        <f>SUM(,H209,H213,H218,H223,H239,H244,H248,H256,H264,H268,H272,H276,H260,H252,H229,H234,)</f>
        <v>228459698</v>
      </c>
      <c r="I206" s="155">
        <f t="shared" ref="I206:U206" si="78">SUM(,I209,I213,I218,I223,I239,I244,I248,I256,I264,I268,I272,I276,I260,I252,I229,I234,)</f>
        <v>52514970</v>
      </c>
      <c r="J206" s="155">
        <f t="shared" si="78"/>
        <v>44023511</v>
      </c>
      <c r="K206" s="155">
        <f t="shared" si="78"/>
        <v>17333060</v>
      </c>
      <c r="L206" s="155">
        <f t="shared" si="78"/>
        <v>6987170</v>
      </c>
      <c r="M206" s="155">
        <f t="shared" si="78"/>
        <v>3259189</v>
      </c>
      <c r="N206" s="155">
        <f t="shared" si="78"/>
        <v>1875491</v>
      </c>
      <c r="O206" s="155">
        <f t="shared" si="78"/>
        <v>1875491</v>
      </c>
      <c r="P206" s="155">
        <f t="shared" si="78"/>
        <v>1875491</v>
      </c>
      <c r="Q206" s="155">
        <f t="shared" si="78"/>
        <v>200000</v>
      </c>
      <c r="R206" s="155">
        <f t="shared" si="78"/>
        <v>200000</v>
      </c>
      <c r="S206" s="155">
        <f t="shared" si="78"/>
        <v>200000</v>
      </c>
      <c r="T206" s="155">
        <f t="shared" si="78"/>
        <v>200000</v>
      </c>
      <c r="U206" s="155">
        <f t="shared" si="78"/>
        <v>200000</v>
      </c>
      <c r="V206" s="180"/>
    </row>
    <row r="207" spans="1:24" s="157" customFormat="1" ht="15">
      <c r="A207" s="468" t="s">
        <v>196</v>
      </c>
      <c r="B207" s="469"/>
      <c r="C207" s="470"/>
      <c r="D207" s="159"/>
      <c r="E207" s="471"/>
      <c r="F207" s="472"/>
      <c r="G207" s="160"/>
      <c r="H207" s="155">
        <f>SUM(,H211,H215,H220,H224,H240,H249,H258,H266,H270,H274,H277,H246,H262,H254,)</f>
        <v>341297904</v>
      </c>
      <c r="I207" s="155">
        <f t="shared" ref="I207:U207" si="79">SUM(,I211,I215,I220,I224,I240,I249,I258,I266,I270,I274,I277,I246,I262,I254,)</f>
        <v>67683895</v>
      </c>
      <c r="J207" s="155">
        <f t="shared" si="79"/>
        <v>44221207</v>
      </c>
      <c r="K207" s="155">
        <f t="shared" si="79"/>
        <v>21544988</v>
      </c>
      <c r="L207" s="155">
        <f t="shared" si="79"/>
        <v>13000000</v>
      </c>
      <c r="M207" s="155">
        <f t="shared" si="79"/>
        <v>13000000</v>
      </c>
      <c r="N207" s="155">
        <f t="shared" si="79"/>
        <v>15000000</v>
      </c>
      <c r="O207" s="155">
        <f t="shared" si="79"/>
        <v>0</v>
      </c>
      <c r="P207" s="155">
        <f t="shared" si="79"/>
        <v>0</v>
      </c>
      <c r="Q207" s="155">
        <f t="shared" si="79"/>
        <v>0</v>
      </c>
      <c r="R207" s="155">
        <f t="shared" si="79"/>
        <v>0</v>
      </c>
      <c r="S207" s="155">
        <f t="shared" si="79"/>
        <v>0</v>
      </c>
      <c r="T207" s="155">
        <f t="shared" si="79"/>
        <v>0</v>
      </c>
      <c r="U207" s="155">
        <f t="shared" si="79"/>
        <v>0</v>
      </c>
      <c r="V207" s="180"/>
      <c r="W207" s="158"/>
    </row>
    <row r="208" spans="1:24" s="8" customFormat="1" ht="75">
      <c r="A208" s="88">
        <v>1</v>
      </c>
      <c r="B208" s="88" t="s">
        <v>316</v>
      </c>
      <c r="C208" s="88" t="s">
        <v>317</v>
      </c>
      <c r="D208" s="483" t="s">
        <v>318</v>
      </c>
      <c r="E208" s="486" t="s">
        <v>365</v>
      </c>
      <c r="F208" s="487"/>
      <c r="G208" s="530" t="s">
        <v>361</v>
      </c>
      <c r="H208" s="91">
        <f>SUM(H209,H211)</f>
        <v>281021</v>
      </c>
      <c r="I208" s="91">
        <f t="shared" ref="I208:K208" si="80">SUM(I209,I211)</f>
        <v>66950</v>
      </c>
      <c r="J208" s="91">
        <f t="shared" si="80"/>
        <v>68959</v>
      </c>
      <c r="K208" s="91">
        <f t="shared" si="80"/>
        <v>71028</v>
      </c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1">
        <v>139987</v>
      </c>
    </row>
    <row r="209" spans="1:22" s="8" customFormat="1" ht="15">
      <c r="A209" s="503" t="s">
        <v>375</v>
      </c>
      <c r="B209" s="504"/>
      <c r="C209" s="505"/>
      <c r="D209" s="484"/>
      <c r="E209" s="488"/>
      <c r="F209" s="489"/>
      <c r="G209" s="531"/>
      <c r="H209" s="181">
        <f>H210</f>
        <v>281021</v>
      </c>
      <c r="I209" s="181">
        <f t="shared" ref="I209:K209" si="81">I210</f>
        <v>66950</v>
      </c>
      <c r="J209" s="181">
        <f t="shared" si="81"/>
        <v>68959</v>
      </c>
      <c r="K209" s="181">
        <f t="shared" si="81"/>
        <v>71028</v>
      </c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66"/>
    </row>
    <row r="210" spans="1:22" s="8" customFormat="1" ht="15">
      <c r="A210" s="182"/>
      <c r="B210" s="506" t="s">
        <v>376</v>
      </c>
      <c r="C210" s="507"/>
      <c r="D210" s="484"/>
      <c r="E210" s="488"/>
      <c r="F210" s="489"/>
      <c r="G210" s="531"/>
      <c r="H210" s="181">
        <v>281021</v>
      </c>
      <c r="I210" s="181">
        <v>66950</v>
      </c>
      <c r="J210" s="181">
        <v>68959</v>
      </c>
      <c r="K210" s="181">
        <v>71028</v>
      </c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66"/>
    </row>
    <row r="211" spans="1:22" s="8" customFormat="1" ht="15">
      <c r="A211" s="503" t="s">
        <v>196</v>
      </c>
      <c r="B211" s="504"/>
      <c r="C211" s="505"/>
      <c r="D211" s="485"/>
      <c r="E211" s="490"/>
      <c r="F211" s="491"/>
      <c r="G211" s="532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66"/>
    </row>
    <row r="212" spans="1:22" s="8" customFormat="1" ht="99" customHeight="1">
      <c r="A212" s="88">
        <v>2</v>
      </c>
      <c r="B212" s="96" t="s">
        <v>319</v>
      </c>
      <c r="C212" s="97" t="s">
        <v>320</v>
      </c>
      <c r="D212" s="483" t="s">
        <v>321</v>
      </c>
      <c r="E212" s="486" t="s">
        <v>365</v>
      </c>
      <c r="F212" s="487"/>
      <c r="G212" s="492" t="s">
        <v>398</v>
      </c>
      <c r="H212" s="93">
        <f>SUM(H213,H215)</f>
        <v>101843621</v>
      </c>
      <c r="I212" s="93">
        <f>SUM(I213,I215)</f>
        <v>24671005</v>
      </c>
      <c r="J212" s="93">
        <f>SUM(J213,J215)</f>
        <v>24537755</v>
      </c>
      <c r="K212" s="93">
        <f>SUM(K213,K215)</f>
        <v>2505000</v>
      </c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>
        <v>0</v>
      </c>
    </row>
    <row r="213" spans="1:22" s="8" customFormat="1" ht="15">
      <c r="A213" s="495" t="s">
        <v>375</v>
      </c>
      <c r="B213" s="496"/>
      <c r="C213" s="497"/>
      <c r="D213" s="484"/>
      <c r="E213" s="488"/>
      <c r="F213" s="489"/>
      <c r="G213" s="493"/>
      <c r="H213" s="100">
        <f>H214</f>
        <v>101729082</v>
      </c>
      <c r="I213" s="100">
        <f>SUM(I214:I214)</f>
        <v>24599133</v>
      </c>
      <c r="J213" s="100">
        <f>SUM(J214:J214)</f>
        <v>24537755</v>
      </c>
      <c r="K213" s="100">
        <f>SUM(K214:K214)</f>
        <v>2505000</v>
      </c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</row>
    <row r="214" spans="1:22" s="8" customFormat="1" ht="15">
      <c r="A214" s="164"/>
      <c r="B214" s="498" t="s">
        <v>364</v>
      </c>
      <c r="C214" s="499"/>
      <c r="D214" s="484"/>
      <c r="E214" s="488"/>
      <c r="F214" s="489"/>
      <c r="G214" s="493"/>
      <c r="H214" s="183">
        <v>101729082</v>
      </c>
      <c r="I214" s="100">
        <v>24599133</v>
      </c>
      <c r="J214" s="100">
        <v>24537755</v>
      </c>
      <c r="K214" s="100">
        <v>2505000</v>
      </c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</row>
    <row r="215" spans="1:22" s="8" customFormat="1" ht="15">
      <c r="A215" s="495" t="s">
        <v>362</v>
      </c>
      <c r="B215" s="496"/>
      <c r="C215" s="497"/>
      <c r="D215" s="484"/>
      <c r="E215" s="488"/>
      <c r="F215" s="489"/>
      <c r="G215" s="493"/>
      <c r="H215" s="100">
        <f>H216</f>
        <v>114539</v>
      </c>
      <c r="I215" s="100">
        <f>SUM(I216:I216)</f>
        <v>71872</v>
      </c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</row>
    <row r="216" spans="1:22" s="8" customFormat="1" ht="14.25" customHeight="1">
      <c r="A216" s="164"/>
      <c r="B216" s="498" t="s">
        <v>364</v>
      </c>
      <c r="C216" s="499"/>
      <c r="D216" s="485"/>
      <c r="E216" s="490"/>
      <c r="F216" s="491"/>
      <c r="G216" s="494"/>
      <c r="H216" s="184">
        <v>114539</v>
      </c>
      <c r="I216" s="100">
        <v>71872</v>
      </c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</row>
    <row r="217" spans="1:22" s="8" customFormat="1" ht="107.25" customHeight="1">
      <c r="A217" s="88">
        <v>3</v>
      </c>
      <c r="B217" s="96" t="s">
        <v>322</v>
      </c>
      <c r="C217" s="97" t="s">
        <v>323</v>
      </c>
      <c r="D217" s="483" t="s">
        <v>201</v>
      </c>
      <c r="E217" s="486" t="s">
        <v>377</v>
      </c>
      <c r="F217" s="487"/>
      <c r="G217" s="483" t="s">
        <v>399</v>
      </c>
      <c r="H217" s="93">
        <f>SUM(H218,H220)</f>
        <v>223182087</v>
      </c>
      <c r="I217" s="93">
        <f t="shared" ref="I217:K217" si="82">SUM(I218,I220)</f>
        <v>45820148</v>
      </c>
      <c r="J217" s="93">
        <f t="shared" si="82"/>
        <v>32721518</v>
      </c>
      <c r="K217" s="93">
        <f t="shared" si="82"/>
        <v>9990815</v>
      </c>
      <c r="L217" s="93"/>
      <c r="M217" s="93"/>
      <c r="N217" s="94"/>
      <c r="O217" s="94"/>
      <c r="P217" s="94"/>
      <c r="Q217" s="94"/>
      <c r="R217" s="94"/>
      <c r="S217" s="94"/>
      <c r="T217" s="94"/>
      <c r="U217" s="94"/>
      <c r="V217" s="93">
        <v>0</v>
      </c>
    </row>
    <row r="218" spans="1:22" s="8" customFormat="1" ht="15">
      <c r="A218" s="503" t="s">
        <v>375</v>
      </c>
      <c r="B218" s="504"/>
      <c r="C218" s="505"/>
      <c r="D218" s="484"/>
      <c r="E218" s="488"/>
      <c r="F218" s="489"/>
      <c r="G218" s="484"/>
      <c r="H218" s="100">
        <f>H219</f>
        <v>2961882</v>
      </c>
      <c r="I218" s="100">
        <f t="shared" ref="I218:K218" si="83">I219</f>
        <v>380000</v>
      </c>
      <c r="J218" s="100">
        <f t="shared" si="83"/>
        <v>443552</v>
      </c>
      <c r="K218" s="100">
        <f t="shared" si="83"/>
        <v>149862</v>
      </c>
      <c r="L218" s="100"/>
      <c r="M218" s="100"/>
      <c r="N218" s="166"/>
      <c r="O218" s="166"/>
      <c r="P218" s="166"/>
      <c r="Q218" s="166"/>
      <c r="R218" s="166"/>
      <c r="S218" s="166"/>
      <c r="T218" s="166"/>
      <c r="U218" s="166"/>
      <c r="V218" s="166"/>
    </row>
    <row r="219" spans="1:22" s="8" customFormat="1" ht="15">
      <c r="A219" s="164"/>
      <c r="B219" s="506" t="s">
        <v>364</v>
      </c>
      <c r="C219" s="507"/>
      <c r="D219" s="484"/>
      <c r="E219" s="488"/>
      <c r="F219" s="489"/>
      <c r="G219" s="484"/>
      <c r="H219" s="100">
        <v>2961882</v>
      </c>
      <c r="I219" s="162">
        <v>380000</v>
      </c>
      <c r="J219" s="162">
        <v>443552</v>
      </c>
      <c r="K219" s="162">
        <v>149862</v>
      </c>
      <c r="L219" s="163"/>
      <c r="M219" s="100"/>
      <c r="N219" s="166"/>
      <c r="O219" s="166"/>
      <c r="P219" s="166"/>
      <c r="Q219" s="166"/>
      <c r="R219" s="166"/>
      <c r="S219" s="166"/>
      <c r="T219" s="166"/>
      <c r="U219" s="166"/>
      <c r="V219" s="166"/>
    </row>
    <row r="220" spans="1:22" s="8" customFormat="1" ht="15">
      <c r="A220" s="503" t="s">
        <v>362</v>
      </c>
      <c r="B220" s="504"/>
      <c r="C220" s="505"/>
      <c r="D220" s="484"/>
      <c r="E220" s="488"/>
      <c r="F220" s="489"/>
      <c r="G220" s="484"/>
      <c r="H220" s="100">
        <f>H221</f>
        <v>220220205</v>
      </c>
      <c r="I220" s="100">
        <f t="shared" ref="I220:K220" si="84">I221</f>
        <v>45440148</v>
      </c>
      <c r="J220" s="100">
        <f t="shared" si="84"/>
        <v>32277966</v>
      </c>
      <c r="K220" s="100">
        <f t="shared" si="84"/>
        <v>9840953</v>
      </c>
      <c r="L220" s="163"/>
      <c r="M220" s="100"/>
      <c r="N220" s="166"/>
      <c r="O220" s="166"/>
      <c r="P220" s="166"/>
      <c r="Q220" s="166"/>
      <c r="R220" s="166"/>
      <c r="S220" s="166"/>
      <c r="T220" s="166"/>
      <c r="U220" s="166"/>
      <c r="V220" s="166"/>
    </row>
    <row r="221" spans="1:22" s="8" customFormat="1" ht="15">
      <c r="A221" s="164"/>
      <c r="B221" s="506" t="s">
        <v>364</v>
      </c>
      <c r="C221" s="507"/>
      <c r="D221" s="485"/>
      <c r="E221" s="490"/>
      <c r="F221" s="491"/>
      <c r="G221" s="485"/>
      <c r="H221" s="100">
        <v>220220205</v>
      </c>
      <c r="I221" s="162">
        <v>45440148</v>
      </c>
      <c r="J221" s="162">
        <v>32277966</v>
      </c>
      <c r="K221" s="162">
        <v>9840953</v>
      </c>
      <c r="L221" s="163"/>
      <c r="M221" s="100"/>
      <c r="N221" s="166"/>
      <c r="O221" s="166"/>
      <c r="P221" s="166"/>
      <c r="Q221" s="166"/>
      <c r="R221" s="166"/>
      <c r="S221" s="166"/>
      <c r="T221" s="166"/>
      <c r="U221" s="166"/>
      <c r="V221" s="166"/>
    </row>
    <row r="222" spans="1:22" s="8" customFormat="1" ht="75">
      <c r="A222" s="88">
        <v>4</v>
      </c>
      <c r="B222" s="88" t="s">
        <v>343</v>
      </c>
      <c r="C222" s="88" t="s">
        <v>344</v>
      </c>
      <c r="D222" s="483" t="s">
        <v>201</v>
      </c>
      <c r="E222" s="486" t="s">
        <v>373</v>
      </c>
      <c r="F222" s="487"/>
      <c r="G222" s="483" t="s">
        <v>382</v>
      </c>
      <c r="H222" s="93">
        <f>SUM(H223:H224)</f>
        <v>64928160</v>
      </c>
      <c r="I222" s="93">
        <f t="shared" ref="I222:K222" si="85">SUM(I223:I224)</f>
        <v>18234375</v>
      </c>
      <c r="J222" s="93">
        <f t="shared" si="85"/>
        <v>9293750</v>
      </c>
      <c r="K222" s="93">
        <f t="shared" si="85"/>
        <v>4704035</v>
      </c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>
        <v>13997785</v>
      </c>
    </row>
    <row r="223" spans="1:22" s="8" customFormat="1" ht="15">
      <c r="A223" s="503" t="s">
        <v>375</v>
      </c>
      <c r="B223" s="504"/>
      <c r="C223" s="505"/>
      <c r="D223" s="484"/>
      <c r="E223" s="488"/>
      <c r="F223" s="489"/>
      <c r="G223" s="484"/>
      <c r="H223" s="100"/>
      <c r="I223" s="100"/>
      <c r="J223" s="100"/>
      <c r="K223" s="100"/>
      <c r="L223" s="100"/>
      <c r="M223" s="100"/>
      <c r="N223" s="166"/>
      <c r="O223" s="166"/>
      <c r="P223" s="166"/>
      <c r="Q223" s="166"/>
      <c r="R223" s="166"/>
      <c r="S223" s="166"/>
      <c r="T223" s="166"/>
      <c r="U223" s="166"/>
      <c r="V223" s="166"/>
    </row>
    <row r="224" spans="1:22" s="8" customFormat="1" ht="15">
      <c r="A224" s="503" t="s">
        <v>362</v>
      </c>
      <c r="B224" s="504"/>
      <c r="C224" s="505"/>
      <c r="D224" s="484"/>
      <c r="E224" s="488"/>
      <c r="F224" s="489"/>
      <c r="G224" s="484"/>
      <c r="H224" s="100">
        <f>SUM(H225:H227)</f>
        <v>64928160</v>
      </c>
      <c r="I224" s="100">
        <f t="shared" ref="I224:K224" si="86">SUM(I225:I227)</f>
        <v>18234375</v>
      </c>
      <c r="J224" s="100">
        <f t="shared" si="86"/>
        <v>9293750</v>
      </c>
      <c r="K224" s="100">
        <f t="shared" si="86"/>
        <v>4704035</v>
      </c>
      <c r="L224" s="100"/>
      <c r="M224" s="100"/>
      <c r="N224" s="166"/>
      <c r="O224" s="166"/>
      <c r="P224" s="166"/>
      <c r="Q224" s="166"/>
      <c r="R224" s="166"/>
      <c r="S224" s="166"/>
      <c r="T224" s="166"/>
      <c r="U224" s="166"/>
      <c r="V224" s="166"/>
    </row>
    <row r="225" spans="1:22" s="8" customFormat="1" ht="15">
      <c r="A225" s="164"/>
      <c r="B225" s="506" t="s">
        <v>376</v>
      </c>
      <c r="C225" s="507"/>
      <c r="D225" s="484"/>
      <c r="E225" s="488"/>
      <c r="F225" s="489"/>
      <c r="G225" s="484"/>
      <c r="H225" s="100">
        <v>1616320</v>
      </c>
      <c r="I225" s="100">
        <v>0</v>
      </c>
      <c r="J225" s="100">
        <v>0</v>
      </c>
      <c r="K225" s="100">
        <v>0</v>
      </c>
      <c r="L225" s="100"/>
      <c r="M225" s="100"/>
      <c r="N225" s="166"/>
      <c r="O225" s="166"/>
      <c r="P225" s="166"/>
      <c r="Q225" s="166"/>
      <c r="R225" s="166"/>
      <c r="S225" s="166"/>
      <c r="T225" s="166"/>
      <c r="U225" s="166"/>
      <c r="V225" s="166"/>
    </row>
    <row r="226" spans="1:22" s="8" customFormat="1" ht="15">
      <c r="A226" s="164"/>
      <c r="B226" s="506" t="s">
        <v>364</v>
      </c>
      <c r="C226" s="507"/>
      <c r="D226" s="484"/>
      <c r="E226" s="488"/>
      <c r="F226" s="489"/>
      <c r="G226" s="484"/>
      <c r="H226" s="100">
        <v>36778480</v>
      </c>
      <c r="I226" s="100">
        <v>14587500</v>
      </c>
      <c r="J226" s="100">
        <v>7293750</v>
      </c>
      <c r="K226" s="100">
        <v>1216280</v>
      </c>
      <c r="L226" s="100"/>
      <c r="M226" s="100"/>
      <c r="N226" s="166"/>
      <c r="O226" s="166"/>
      <c r="P226" s="166"/>
      <c r="Q226" s="166"/>
      <c r="R226" s="166"/>
      <c r="S226" s="166"/>
      <c r="T226" s="166"/>
      <c r="U226" s="166"/>
      <c r="V226" s="166"/>
    </row>
    <row r="227" spans="1:22" s="8" customFormat="1" ht="15">
      <c r="A227" s="164"/>
      <c r="B227" s="504" t="s">
        <v>383</v>
      </c>
      <c r="C227" s="505"/>
      <c r="D227" s="485"/>
      <c r="E227" s="490"/>
      <c r="F227" s="491"/>
      <c r="G227" s="485"/>
      <c r="H227" s="100">
        <v>26533360</v>
      </c>
      <c r="I227" s="100">
        <v>3646875</v>
      </c>
      <c r="J227" s="100">
        <v>2000000</v>
      </c>
      <c r="K227" s="100">
        <v>3487755</v>
      </c>
      <c r="L227" s="100"/>
      <c r="M227" s="166"/>
      <c r="N227" s="166"/>
      <c r="O227" s="166"/>
      <c r="P227" s="166"/>
      <c r="Q227" s="166"/>
      <c r="R227" s="166"/>
      <c r="S227" s="166"/>
      <c r="T227" s="166"/>
      <c r="U227" s="166"/>
      <c r="V227" s="166"/>
    </row>
    <row r="228" spans="1:22" s="8" customFormat="1" ht="30">
      <c r="A228" s="88">
        <v>5</v>
      </c>
      <c r="B228" s="88" t="s">
        <v>324</v>
      </c>
      <c r="C228" s="88" t="s">
        <v>210</v>
      </c>
      <c r="D228" s="483" t="s">
        <v>201</v>
      </c>
      <c r="E228" s="486" t="s">
        <v>400</v>
      </c>
      <c r="F228" s="487"/>
      <c r="G228" s="483" t="s">
        <v>382</v>
      </c>
      <c r="H228" s="93">
        <f>SUM(H229,H232)</f>
        <v>10802368</v>
      </c>
      <c r="I228" s="93">
        <f>SUM(I229,I232)</f>
        <v>100000</v>
      </c>
      <c r="J228" s="93">
        <f t="shared" ref="J228:M228" si="87">SUM(J229,J232)</f>
        <v>2580000</v>
      </c>
      <c r="K228" s="93">
        <f t="shared" si="87"/>
        <v>3285000</v>
      </c>
      <c r="L228" s="93">
        <f t="shared" si="87"/>
        <v>3285000</v>
      </c>
      <c r="M228" s="93">
        <f t="shared" si="87"/>
        <v>1552368</v>
      </c>
      <c r="N228" s="94"/>
      <c r="O228" s="94"/>
      <c r="P228" s="94"/>
      <c r="Q228" s="94"/>
      <c r="R228" s="94"/>
      <c r="S228" s="94"/>
      <c r="T228" s="94"/>
      <c r="U228" s="94"/>
      <c r="V228" s="93">
        <v>10702368</v>
      </c>
    </row>
    <row r="229" spans="1:22" s="8" customFormat="1" ht="15">
      <c r="A229" s="503" t="s">
        <v>375</v>
      </c>
      <c r="B229" s="504"/>
      <c r="C229" s="505"/>
      <c r="D229" s="484"/>
      <c r="E229" s="488"/>
      <c r="F229" s="489"/>
      <c r="G229" s="484"/>
      <c r="H229" s="100">
        <f>SUM(H230:H231)</f>
        <v>10802368</v>
      </c>
      <c r="I229" s="100">
        <f t="shared" ref="I229:M229" si="88">SUM(I230:I231)</f>
        <v>100000</v>
      </c>
      <c r="J229" s="100">
        <f t="shared" si="88"/>
        <v>2580000</v>
      </c>
      <c r="K229" s="100">
        <f t="shared" si="88"/>
        <v>3285000</v>
      </c>
      <c r="L229" s="100">
        <f t="shared" si="88"/>
        <v>3285000</v>
      </c>
      <c r="M229" s="100">
        <f t="shared" si="88"/>
        <v>1552368</v>
      </c>
      <c r="N229" s="166"/>
      <c r="O229" s="166"/>
      <c r="P229" s="166"/>
      <c r="Q229" s="166"/>
      <c r="R229" s="166"/>
      <c r="S229" s="166"/>
      <c r="T229" s="166"/>
      <c r="U229" s="166"/>
      <c r="V229" s="166"/>
    </row>
    <row r="230" spans="1:22" s="8" customFormat="1" ht="15">
      <c r="A230" s="164"/>
      <c r="B230" s="506" t="s">
        <v>376</v>
      </c>
      <c r="C230" s="507"/>
      <c r="D230" s="484"/>
      <c r="E230" s="488"/>
      <c r="F230" s="489"/>
      <c r="G230" s="484"/>
      <c r="H230" s="100">
        <v>1552368</v>
      </c>
      <c r="I230" s="100">
        <v>0</v>
      </c>
      <c r="J230" s="100">
        <v>0</v>
      </c>
      <c r="K230" s="100">
        <v>0</v>
      </c>
      <c r="L230" s="100">
        <v>0</v>
      </c>
      <c r="M230" s="100">
        <v>1552368</v>
      </c>
      <c r="N230" s="166"/>
      <c r="O230" s="166"/>
      <c r="P230" s="166"/>
      <c r="Q230" s="166"/>
      <c r="R230" s="166"/>
      <c r="S230" s="166"/>
      <c r="T230" s="166"/>
      <c r="U230" s="166"/>
      <c r="V230" s="166"/>
    </row>
    <row r="231" spans="1:22" s="8" customFormat="1" ht="15">
      <c r="A231" s="164"/>
      <c r="B231" s="504" t="s">
        <v>383</v>
      </c>
      <c r="C231" s="505"/>
      <c r="D231" s="484"/>
      <c r="E231" s="488"/>
      <c r="F231" s="489"/>
      <c r="G231" s="484"/>
      <c r="H231" s="100">
        <v>9250000</v>
      </c>
      <c r="I231" s="100">
        <v>100000</v>
      </c>
      <c r="J231" s="100">
        <v>2580000</v>
      </c>
      <c r="K231" s="100">
        <v>3285000</v>
      </c>
      <c r="L231" s="100">
        <v>3285000</v>
      </c>
      <c r="M231" s="100"/>
      <c r="N231" s="166"/>
      <c r="O231" s="166"/>
      <c r="P231" s="166"/>
      <c r="Q231" s="166"/>
      <c r="R231" s="166"/>
      <c r="S231" s="166"/>
      <c r="T231" s="166"/>
      <c r="U231" s="166"/>
      <c r="V231" s="166"/>
    </row>
    <row r="232" spans="1:22" s="8" customFormat="1" ht="15">
      <c r="A232" s="503" t="s">
        <v>196</v>
      </c>
      <c r="B232" s="504"/>
      <c r="C232" s="505"/>
      <c r="D232" s="485"/>
      <c r="E232" s="490"/>
      <c r="F232" s="491"/>
      <c r="G232" s="485"/>
      <c r="H232" s="100"/>
      <c r="I232" s="100"/>
      <c r="J232" s="166"/>
      <c r="K232" s="166"/>
      <c r="L232" s="166"/>
      <c r="M232" s="166"/>
      <c r="N232" s="166"/>
      <c r="O232" s="166"/>
      <c r="P232" s="166"/>
      <c r="Q232" s="166"/>
      <c r="R232" s="166"/>
      <c r="S232" s="166"/>
      <c r="T232" s="166"/>
      <c r="U232" s="166"/>
      <c r="V232" s="166"/>
    </row>
    <row r="233" spans="1:22" s="8" customFormat="1" ht="30">
      <c r="A233" s="88">
        <v>6</v>
      </c>
      <c r="B233" s="88" t="s">
        <v>325</v>
      </c>
      <c r="C233" s="88" t="s">
        <v>210</v>
      </c>
      <c r="D233" s="483" t="s">
        <v>201</v>
      </c>
      <c r="E233" s="486" t="s">
        <v>401</v>
      </c>
      <c r="F233" s="487"/>
      <c r="G233" s="483" t="s">
        <v>382</v>
      </c>
      <c r="H233" s="93">
        <f>SUM(H234,H237)</f>
        <v>3240000</v>
      </c>
      <c r="I233" s="93">
        <f>SUM(I234,I237)</f>
        <v>0</v>
      </c>
      <c r="J233" s="93">
        <f t="shared" ref="J233:P233" si="89">SUM(J234,J237)</f>
        <v>0</v>
      </c>
      <c r="K233" s="93">
        <f t="shared" si="89"/>
        <v>502500</v>
      </c>
      <c r="L233" s="93">
        <f t="shared" si="89"/>
        <v>547500</v>
      </c>
      <c r="M233" s="93">
        <f t="shared" si="89"/>
        <v>547500</v>
      </c>
      <c r="N233" s="93">
        <f t="shared" si="89"/>
        <v>547500</v>
      </c>
      <c r="O233" s="93">
        <f t="shared" si="89"/>
        <v>547500</v>
      </c>
      <c r="P233" s="93">
        <f t="shared" si="89"/>
        <v>547500</v>
      </c>
      <c r="Q233" s="94"/>
      <c r="R233" s="94"/>
      <c r="S233" s="94"/>
      <c r="T233" s="94"/>
      <c r="U233" s="94"/>
      <c r="V233" s="93">
        <v>3240000</v>
      </c>
    </row>
    <row r="234" spans="1:22" s="8" customFormat="1" ht="15">
      <c r="A234" s="503" t="s">
        <v>375</v>
      </c>
      <c r="B234" s="504"/>
      <c r="C234" s="505"/>
      <c r="D234" s="484"/>
      <c r="E234" s="488"/>
      <c r="F234" s="489"/>
      <c r="G234" s="484"/>
      <c r="H234" s="100">
        <f>SUM(H235:H236)</f>
        <v>3240000</v>
      </c>
      <c r="I234" s="100">
        <f t="shared" ref="I234:P234" si="90">SUM(I235:I236)</f>
        <v>0</v>
      </c>
      <c r="J234" s="100">
        <f t="shared" si="90"/>
        <v>0</v>
      </c>
      <c r="K234" s="100">
        <f t="shared" si="90"/>
        <v>502500</v>
      </c>
      <c r="L234" s="100">
        <f t="shared" si="90"/>
        <v>547500</v>
      </c>
      <c r="M234" s="100">
        <f t="shared" si="90"/>
        <v>547500</v>
      </c>
      <c r="N234" s="100">
        <f t="shared" si="90"/>
        <v>547500</v>
      </c>
      <c r="O234" s="100">
        <f t="shared" si="90"/>
        <v>547500</v>
      </c>
      <c r="P234" s="100">
        <f t="shared" si="90"/>
        <v>547500</v>
      </c>
      <c r="Q234" s="166"/>
      <c r="R234" s="166"/>
      <c r="S234" s="166"/>
      <c r="T234" s="166"/>
      <c r="U234" s="166"/>
      <c r="V234" s="166"/>
    </row>
    <row r="235" spans="1:22" s="8" customFormat="1" ht="15">
      <c r="A235" s="164"/>
      <c r="B235" s="506" t="s">
        <v>376</v>
      </c>
      <c r="C235" s="507"/>
      <c r="D235" s="484"/>
      <c r="E235" s="488"/>
      <c r="F235" s="489"/>
      <c r="G235" s="484"/>
      <c r="H235" s="100">
        <v>2190000</v>
      </c>
      <c r="I235" s="100">
        <v>0</v>
      </c>
      <c r="J235" s="100">
        <v>0</v>
      </c>
      <c r="K235" s="100">
        <v>0</v>
      </c>
      <c r="L235" s="100">
        <v>0</v>
      </c>
      <c r="M235" s="100">
        <v>547500</v>
      </c>
      <c r="N235" s="100">
        <v>547500</v>
      </c>
      <c r="O235" s="100">
        <v>547500</v>
      </c>
      <c r="P235" s="100">
        <v>547500</v>
      </c>
      <c r="Q235" s="166"/>
      <c r="R235" s="166"/>
      <c r="S235" s="166"/>
      <c r="T235" s="166"/>
      <c r="U235" s="166"/>
      <c r="V235" s="166"/>
    </row>
    <row r="236" spans="1:22" s="8" customFormat="1" ht="15">
      <c r="A236" s="164"/>
      <c r="B236" s="504" t="s">
        <v>383</v>
      </c>
      <c r="C236" s="505"/>
      <c r="D236" s="484"/>
      <c r="E236" s="488"/>
      <c r="F236" s="489"/>
      <c r="G236" s="484"/>
      <c r="H236" s="100">
        <v>1050000</v>
      </c>
      <c r="I236" s="100">
        <v>0</v>
      </c>
      <c r="J236" s="100">
        <v>0</v>
      </c>
      <c r="K236" s="100">
        <v>502500</v>
      </c>
      <c r="L236" s="100">
        <v>547500</v>
      </c>
      <c r="M236" s="100"/>
      <c r="N236" s="166"/>
      <c r="O236" s="166"/>
      <c r="P236" s="166"/>
      <c r="Q236" s="166"/>
      <c r="R236" s="166"/>
      <c r="S236" s="166"/>
      <c r="T236" s="166"/>
      <c r="U236" s="166"/>
      <c r="V236" s="166"/>
    </row>
    <row r="237" spans="1:22" s="8" customFormat="1" ht="15">
      <c r="A237" s="503" t="s">
        <v>196</v>
      </c>
      <c r="B237" s="504"/>
      <c r="C237" s="505"/>
      <c r="D237" s="485"/>
      <c r="E237" s="490"/>
      <c r="F237" s="491"/>
      <c r="G237" s="485"/>
      <c r="H237" s="100"/>
      <c r="I237" s="100"/>
      <c r="J237" s="166"/>
      <c r="K237" s="166"/>
      <c r="L237" s="166"/>
      <c r="M237" s="166"/>
      <c r="N237" s="166"/>
      <c r="O237" s="166"/>
      <c r="P237" s="166"/>
      <c r="Q237" s="166"/>
      <c r="R237" s="166"/>
      <c r="S237" s="166"/>
      <c r="T237" s="166"/>
      <c r="U237" s="166"/>
      <c r="V237" s="166"/>
    </row>
    <row r="238" spans="1:22" s="8" customFormat="1" ht="120">
      <c r="A238" s="88">
        <v>7</v>
      </c>
      <c r="B238" s="88" t="s">
        <v>346</v>
      </c>
      <c r="C238" s="88" t="s">
        <v>290</v>
      </c>
      <c r="D238" s="483" t="s">
        <v>287</v>
      </c>
      <c r="E238" s="486" t="s">
        <v>402</v>
      </c>
      <c r="F238" s="487"/>
      <c r="G238" s="483" t="s">
        <v>384</v>
      </c>
      <c r="H238" s="93">
        <f>SUM(H239:H240)</f>
        <v>48000000</v>
      </c>
      <c r="I238" s="93">
        <f t="shared" ref="I238:N238" si="91">SUM(I239:I240)</f>
        <v>0</v>
      </c>
      <c r="J238" s="93">
        <f t="shared" si="91"/>
        <v>0</v>
      </c>
      <c r="K238" s="93">
        <f t="shared" si="91"/>
        <v>7000000</v>
      </c>
      <c r="L238" s="93">
        <f t="shared" si="91"/>
        <v>13000000</v>
      </c>
      <c r="M238" s="93">
        <f t="shared" si="91"/>
        <v>13000000</v>
      </c>
      <c r="N238" s="93">
        <f t="shared" si="91"/>
        <v>15000000</v>
      </c>
      <c r="O238" s="94"/>
      <c r="P238" s="94"/>
      <c r="Q238" s="94"/>
      <c r="R238" s="94"/>
      <c r="S238" s="94"/>
      <c r="T238" s="94"/>
      <c r="U238" s="94"/>
      <c r="V238" s="93">
        <v>0</v>
      </c>
    </row>
    <row r="239" spans="1:22" s="8" customFormat="1" ht="15">
      <c r="A239" s="503" t="s">
        <v>194</v>
      </c>
      <c r="B239" s="504"/>
      <c r="C239" s="505"/>
      <c r="D239" s="484"/>
      <c r="E239" s="488"/>
      <c r="F239" s="489"/>
      <c r="G239" s="484"/>
      <c r="H239" s="100"/>
      <c r="I239" s="100"/>
      <c r="J239" s="100"/>
      <c r="K239" s="100"/>
      <c r="L239" s="166"/>
      <c r="M239" s="166"/>
      <c r="N239" s="166"/>
      <c r="O239" s="166"/>
      <c r="P239" s="166"/>
      <c r="Q239" s="166"/>
      <c r="R239" s="166"/>
      <c r="S239" s="166"/>
      <c r="T239" s="166"/>
      <c r="U239" s="166"/>
      <c r="V239" s="166"/>
    </row>
    <row r="240" spans="1:22" s="8" customFormat="1" ht="15">
      <c r="A240" s="503" t="s">
        <v>362</v>
      </c>
      <c r="B240" s="504"/>
      <c r="C240" s="505"/>
      <c r="D240" s="484"/>
      <c r="E240" s="488"/>
      <c r="F240" s="489"/>
      <c r="G240" s="484"/>
      <c r="H240" s="100">
        <f>SUM(H241:H242)</f>
        <v>48000000</v>
      </c>
      <c r="I240" s="100">
        <f t="shared" ref="I240:N240" si="92">SUM(I241:I242)</f>
        <v>0</v>
      </c>
      <c r="J240" s="100">
        <f t="shared" si="92"/>
        <v>0</v>
      </c>
      <c r="K240" s="100">
        <f t="shared" si="92"/>
        <v>7000000</v>
      </c>
      <c r="L240" s="100">
        <f t="shared" si="92"/>
        <v>13000000</v>
      </c>
      <c r="M240" s="100">
        <f t="shared" si="92"/>
        <v>13000000</v>
      </c>
      <c r="N240" s="100">
        <f t="shared" si="92"/>
        <v>15000000</v>
      </c>
      <c r="O240" s="166"/>
      <c r="P240" s="166"/>
      <c r="Q240" s="166"/>
      <c r="R240" s="166"/>
      <c r="S240" s="166"/>
      <c r="T240" s="166"/>
      <c r="U240" s="166"/>
      <c r="V240" s="166"/>
    </row>
    <row r="241" spans="1:22" s="8" customFormat="1" ht="15">
      <c r="A241" s="164"/>
      <c r="B241" s="506" t="s">
        <v>376</v>
      </c>
      <c r="C241" s="507"/>
      <c r="D241" s="484"/>
      <c r="E241" s="488"/>
      <c r="F241" s="489"/>
      <c r="G241" s="484"/>
      <c r="H241" s="100">
        <v>40000000</v>
      </c>
      <c r="I241" s="100"/>
      <c r="J241" s="100"/>
      <c r="K241" s="100">
        <v>5000000</v>
      </c>
      <c r="L241" s="100">
        <v>10000000</v>
      </c>
      <c r="M241" s="100">
        <v>10000000</v>
      </c>
      <c r="N241" s="100">
        <v>15000000</v>
      </c>
      <c r="O241" s="166"/>
      <c r="P241" s="166"/>
      <c r="Q241" s="166"/>
      <c r="R241" s="166"/>
      <c r="S241" s="166"/>
      <c r="T241" s="166"/>
      <c r="U241" s="166"/>
      <c r="V241" s="166"/>
    </row>
    <row r="242" spans="1:22" s="8" customFormat="1" ht="15">
      <c r="A242" s="164"/>
      <c r="B242" s="506" t="s">
        <v>403</v>
      </c>
      <c r="C242" s="507"/>
      <c r="D242" s="485"/>
      <c r="E242" s="490"/>
      <c r="F242" s="491"/>
      <c r="G242" s="485"/>
      <c r="H242" s="100">
        <v>8000000</v>
      </c>
      <c r="I242" s="100"/>
      <c r="J242" s="100"/>
      <c r="K242" s="100">
        <v>2000000</v>
      </c>
      <c r="L242" s="166">
        <v>3000000</v>
      </c>
      <c r="M242" s="166">
        <v>3000000</v>
      </c>
      <c r="N242" s="166"/>
      <c r="O242" s="166"/>
      <c r="P242" s="166"/>
      <c r="Q242" s="166"/>
      <c r="R242" s="166"/>
      <c r="S242" s="166"/>
      <c r="T242" s="166"/>
      <c r="U242" s="166"/>
      <c r="V242" s="166"/>
    </row>
    <row r="243" spans="1:22" s="8" customFormat="1" ht="30">
      <c r="A243" s="88">
        <v>8</v>
      </c>
      <c r="B243" s="88" t="s">
        <v>326</v>
      </c>
      <c r="C243" s="88" t="s">
        <v>326</v>
      </c>
      <c r="D243" s="483" t="s">
        <v>287</v>
      </c>
      <c r="E243" s="486" t="s">
        <v>373</v>
      </c>
      <c r="F243" s="487"/>
      <c r="G243" s="483" t="s">
        <v>384</v>
      </c>
      <c r="H243" s="93">
        <f>SUM(H244,H246)</f>
        <v>56691296</v>
      </c>
      <c r="I243" s="93">
        <f>SUM(I244,I246)</f>
        <v>12812414</v>
      </c>
      <c r="J243" s="93">
        <f t="shared" ref="J243:K243" si="93">SUM(J244,J246)</f>
        <v>6180000</v>
      </c>
      <c r="K243" s="93">
        <f t="shared" si="93"/>
        <v>6365000</v>
      </c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93">
        <v>12545000</v>
      </c>
    </row>
    <row r="244" spans="1:22" s="8" customFormat="1" ht="15">
      <c r="A244" s="503" t="s">
        <v>375</v>
      </c>
      <c r="B244" s="504"/>
      <c r="C244" s="505"/>
      <c r="D244" s="484"/>
      <c r="E244" s="488"/>
      <c r="F244" s="489"/>
      <c r="G244" s="484"/>
      <c r="H244" s="100">
        <f>H245</f>
        <v>56691296</v>
      </c>
      <c r="I244" s="100">
        <f>SUM(I245:I245)</f>
        <v>12812414</v>
      </c>
      <c r="J244" s="100">
        <f t="shared" ref="J244:K244" si="94">SUM(J245:J245)</f>
        <v>6180000</v>
      </c>
      <c r="K244" s="100">
        <f t="shared" si="94"/>
        <v>6365000</v>
      </c>
      <c r="L244" s="166"/>
      <c r="M244" s="166"/>
      <c r="N244" s="166"/>
      <c r="O244" s="166"/>
      <c r="P244" s="166"/>
      <c r="Q244" s="166"/>
      <c r="R244" s="166"/>
      <c r="S244" s="166"/>
      <c r="T244" s="166"/>
      <c r="U244" s="166"/>
      <c r="V244" s="166"/>
    </row>
    <row r="245" spans="1:22" s="8" customFormat="1" ht="15">
      <c r="A245" s="164"/>
      <c r="B245" s="498" t="s">
        <v>376</v>
      </c>
      <c r="C245" s="499"/>
      <c r="D245" s="484"/>
      <c r="E245" s="488"/>
      <c r="F245" s="489"/>
      <c r="G245" s="484"/>
      <c r="H245" s="100">
        <v>56691296</v>
      </c>
      <c r="I245" s="100">
        <v>12812414</v>
      </c>
      <c r="J245" s="100">
        <v>6180000</v>
      </c>
      <c r="K245" s="100">
        <v>6365000</v>
      </c>
      <c r="L245" s="166"/>
      <c r="M245" s="166"/>
      <c r="N245" s="166"/>
      <c r="O245" s="166"/>
      <c r="P245" s="166"/>
      <c r="Q245" s="166"/>
      <c r="R245" s="166"/>
      <c r="S245" s="166"/>
      <c r="T245" s="166"/>
      <c r="U245" s="166"/>
      <c r="V245" s="166"/>
    </row>
    <row r="246" spans="1:22" s="8" customFormat="1" ht="15">
      <c r="A246" s="495" t="s">
        <v>196</v>
      </c>
      <c r="B246" s="496"/>
      <c r="C246" s="497"/>
      <c r="D246" s="485"/>
      <c r="E246" s="490"/>
      <c r="F246" s="491"/>
      <c r="G246" s="485"/>
      <c r="H246" s="100"/>
      <c r="I246" s="100"/>
      <c r="J246" s="100"/>
      <c r="K246" s="100"/>
      <c r="L246" s="166"/>
      <c r="M246" s="166"/>
      <c r="N246" s="166"/>
      <c r="O246" s="166"/>
      <c r="P246" s="166"/>
      <c r="Q246" s="166"/>
      <c r="R246" s="166"/>
      <c r="S246" s="166"/>
      <c r="T246" s="166"/>
      <c r="U246" s="166"/>
      <c r="V246" s="166"/>
    </row>
    <row r="247" spans="1:22" s="8" customFormat="1" ht="60">
      <c r="A247" s="185">
        <v>9</v>
      </c>
      <c r="B247" s="88" t="s">
        <v>348</v>
      </c>
      <c r="C247" s="88" t="s">
        <v>349</v>
      </c>
      <c r="D247" s="483" t="s">
        <v>287</v>
      </c>
      <c r="E247" s="486" t="s">
        <v>386</v>
      </c>
      <c r="F247" s="487"/>
      <c r="G247" s="492" t="s">
        <v>384</v>
      </c>
      <c r="H247" s="91">
        <f t="shared" ref="H247:J247" si="95">SUM(H248:H249)</f>
        <v>2230000</v>
      </c>
      <c r="I247" s="91">
        <f t="shared" si="95"/>
        <v>737500</v>
      </c>
      <c r="J247" s="91">
        <f t="shared" si="95"/>
        <v>490000</v>
      </c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>
        <v>490000</v>
      </c>
    </row>
    <row r="248" spans="1:22" s="8" customFormat="1" ht="15" customHeight="1">
      <c r="A248" s="495" t="s">
        <v>194</v>
      </c>
      <c r="B248" s="496"/>
      <c r="C248" s="497"/>
      <c r="D248" s="484"/>
      <c r="E248" s="488"/>
      <c r="F248" s="489"/>
      <c r="G248" s="493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</row>
    <row r="249" spans="1:22" s="8" customFormat="1" ht="15">
      <c r="A249" s="495" t="s">
        <v>362</v>
      </c>
      <c r="B249" s="496"/>
      <c r="C249" s="497"/>
      <c r="D249" s="484"/>
      <c r="E249" s="488"/>
      <c r="F249" s="489"/>
      <c r="G249" s="493"/>
      <c r="H249" s="100">
        <f>SUM(H250:H250)</f>
        <v>2230000</v>
      </c>
      <c r="I249" s="100">
        <f>SUM(I250:I250)</f>
        <v>737500</v>
      </c>
      <c r="J249" s="100">
        <f>SUM(J250:J250)</f>
        <v>490000</v>
      </c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</row>
    <row r="250" spans="1:22" s="8" customFormat="1" ht="15">
      <c r="A250" s="164"/>
      <c r="B250" s="506" t="s">
        <v>376</v>
      </c>
      <c r="C250" s="507"/>
      <c r="D250" s="484"/>
      <c r="E250" s="488"/>
      <c r="F250" s="489"/>
      <c r="G250" s="493"/>
      <c r="H250" s="162">
        <v>2230000</v>
      </c>
      <c r="I250" s="100">
        <v>737500</v>
      </c>
      <c r="J250" s="100">
        <v>490000</v>
      </c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</row>
    <row r="251" spans="1:22" s="8" customFormat="1" ht="111.75" customHeight="1">
      <c r="A251" s="88">
        <v>10</v>
      </c>
      <c r="B251" s="88" t="s">
        <v>327</v>
      </c>
      <c r="C251" s="88" t="s">
        <v>328</v>
      </c>
      <c r="D251" s="483" t="s">
        <v>329</v>
      </c>
      <c r="E251" s="486" t="s">
        <v>404</v>
      </c>
      <c r="F251" s="487"/>
      <c r="G251" s="483" t="s">
        <v>405</v>
      </c>
      <c r="H251" s="93">
        <f>SUM(H252,H254)</f>
        <v>1400000</v>
      </c>
      <c r="I251" s="93">
        <f t="shared" ref="I251:K251" si="96">SUM(I252,I254)</f>
        <v>400000</v>
      </c>
      <c r="J251" s="93">
        <f t="shared" si="96"/>
        <v>500000</v>
      </c>
      <c r="K251" s="93">
        <f t="shared" si="96"/>
        <v>500000</v>
      </c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3">
        <v>1000000</v>
      </c>
    </row>
    <row r="252" spans="1:22" s="8" customFormat="1" ht="15">
      <c r="A252" s="503" t="s">
        <v>375</v>
      </c>
      <c r="B252" s="504"/>
      <c r="C252" s="505"/>
      <c r="D252" s="484"/>
      <c r="E252" s="488"/>
      <c r="F252" s="489"/>
      <c r="G252" s="484"/>
      <c r="H252" s="100">
        <f>H253</f>
        <v>1400000</v>
      </c>
      <c r="I252" s="100">
        <f t="shared" ref="I252:K252" si="97">I253</f>
        <v>400000</v>
      </c>
      <c r="J252" s="100">
        <f t="shared" si="97"/>
        <v>500000</v>
      </c>
      <c r="K252" s="100">
        <f t="shared" si="97"/>
        <v>500000</v>
      </c>
      <c r="L252" s="166"/>
      <c r="M252" s="166"/>
      <c r="N252" s="166"/>
      <c r="O252" s="166"/>
      <c r="P252" s="166"/>
      <c r="Q252" s="166"/>
      <c r="R252" s="166"/>
      <c r="S252" s="166"/>
      <c r="T252" s="166"/>
      <c r="U252" s="166"/>
      <c r="V252" s="166"/>
    </row>
    <row r="253" spans="1:22" s="8" customFormat="1" ht="15">
      <c r="A253" s="164"/>
      <c r="B253" s="498" t="s">
        <v>376</v>
      </c>
      <c r="C253" s="499"/>
      <c r="D253" s="484"/>
      <c r="E253" s="488"/>
      <c r="F253" s="489"/>
      <c r="G253" s="484"/>
      <c r="H253" s="100">
        <v>1400000</v>
      </c>
      <c r="I253" s="100">
        <v>400000</v>
      </c>
      <c r="J253" s="100">
        <v>500000</v>
      </c>
      <c r="K253" s="100">
        <v>500000</v>
      </c>
      <c r="L253" s="166"/>
      <c r="M253" s="166"/>
      <c r="N253" s="166"/>
      <c r="O253" s="166"/>
      <c r="P253" s="166"/>
      <c r="Q253" s="166"/>
      <c r="R253" s="166"/>
      <c r="S253" s="166"/>
      <c r="T253" s="166"/>
      <c r="U253" s="166"/>
      <c r="V253" s="166"/>
    </row>
    <row r="254" spans="1:22" s="8" customFormat="1" ht="15">
      <c r="A254" s="495" t="s">
        <v>196</v>
      </c>
      <c r="B254" s="496"/>
      <c r="C254" s="497"/>
      <c r="D254" s="485"/>
      <c r="E254" s="490"/>
      <c r="F254" s="491"/>
      <c r="G254" s="485"/>
      <c r="H254" s="100"/>
      <c r="I254" s="100"/>
      <c r="J254" s="100"/>
      <c r="K254" s="100"/>
      <c r="L254" s="166"/>
      <c r="M254" s="166"/>
      <c r="N254" s="166"/>
      <c r="O254" s="166"/>
      <c r="P254" s="166"/>
      <c r="Q254" s="166"/>
      <c r="R254" s="166"/>
      <c r="S254" s="166"/>
      <c r="T254" s="166"/>
      <c r="U254" s="166"/>
      <c r="V254" s="166"/>
    </row>
    <row r="255" spans="1:22" s="8" customFormat="1" ht="105">
      <c r="A255" s="88">
        <v>11</v>
      </c>
      <c r="B255" s="88" t="s">
        <v>330</v>
      </c>
      <c r="C255" s="88" t="s">
        <v>331</v>
      </c>
      <c r="D255" s="500" t="s">
        <v>201</v>
      </c>
      <c r="E255" s="486" t="s">
        <v>381</v>
      </c>
      <c r="F255" s="487"/>
      <c r="G255" s="483" t="s">
        <v>406</v>
      </c>
      <c r="H255" s="93">
        <f>SUM(H256,H258)</f>
        <v>23961500</v>
      </c>
      <c r="I255" s="93">
        <f t="shared" ref="I255:J255" si="98">SUM(I256,I258)</f>
        <v>6000000</v>
      </c>
      <c r="J255" s="93">
        <f t="shared" si="98"/>
        <v>6000000</v>
      </c>
      <c r="K255" s="93"/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93">
        <f>18000000-18000000</f>
        <v>0</v>
      </c>
    </row>
    <row r="256" spans="1:22" s="8" customFormat="1" ht="15">
      <c r="A256" s="533" t="s">
        <v>375</v>
      </c>
      <c r="B256" s="504"/>
      <c r="C256" s="505"/>
      <c r="D256" s="501"/>
      <c r="E256" s="488"/>
      <c r="F256" s="489"/>
      <c r="G256" s="484"/>
      <c r="H256" s="100">
        <f>H257</f>
        <v>23961500</v>
      </c>
      <c r="I256" s="100">
        <f t="shared" ref="I256:J256" si="99">I257</f>
        <v>6000000</v>
      </c>
      <c r="J256" s="100">
        <f t="shared" si="99"/>
        <v>6000000</v>
      </c>
      <c r="K256" s="100"/>
      <c r="L256" s="166"/>
      <c r="M256" s="166"/>
      <c r="N256" s="166"/>
      <c r="O256" s="166"/>
      <c r="P256" s="166"/>
      <c r="Q256" s="166"/>
      <c r="R256" s="166"/>
      <c r="S256" s="166"/>
      <c r="T256" s="166"/>
      <c r="U256" s="166"/>
      <c r="V256" s="166"/>
    </row>
    <row r="257" spans="1:22" s="8" customFormat="1" ht="15">
      <c r="A257" s="178"/>
      <c r="B257" s="506" t="s">
        <v>376</v>
      </c>
      <c r="C257" s="507"/>
      <c r="D257" s="501"/>
      <c r="E257" s="488"/>
      <c r="F257" s="489"/>
      <c r="G257" s="484"/>
      <c r="H257" s="100">
        <f>24000000-38500</f>
        <v>23961500</v>
      </c>
      <c r="I257" s="100">
        <v>6000000</v>
      </c>
      <c r="J257" s="100">
        <v>6000000</v>
      </c>
      <c r="K257" s="100"/>
      <c r="L257" s="166"/>
      <c r="M257" s="166"/>
      <c r="N257" s="166"/>
      <c r="O257" s="166"/>
      <c r="P257" s="166"/>
      <c r="Q257" s="166"/>
      <c r="R257" s="166"/>
      <c r="S257" s="166"/>
      <c r="T257" s="166"/>
      <c r="U257" s="166"/>
      <c r="V257" s="166"/>
    </row>
    <row r="258" spans="1:22" s="8" customFormat="1" ht="15">
      <c r="A258" s="534" t="s">
        <v>196</v>
      </c>
      <c r="B258" s="504"/>
      <c r="C258" s="505"/>
      <c r="D258" s="502"/>
      <c r="E258" s="490"/>
      <c r="F258" s="491"/>
      <c r="G258" s="485"/>
      <c r="H258" s="100"/>
      <c r="I258" s="100"/>
      <c r="J258" s="100"/>
      <c r="K258" s="100"/>
      <c r="L258" s="166"/>
      <c r="M258" s="166"/>
      <c r="N258" s="166"/>
      <c r="O258" s="166"/>
      <c r="P258" s="166"/>
      <c r="Q258" s="166"/>
      <c r="R258" s="166"/>
      <c r="S258" s="166"/>
      <c r="T258" s="166"/>
      <c r="U258" s="166"/>
      <c r="V258" s="166"/>
    </row>
    <row r="259" spans="1:22" s="8" customFormat="1" ht="111.75" customHeight="1">
      <c r="A259" s="88">
        <v>12</v>
      </c>
      <c r="B259" s="88" t="s">
        <v>332</v>
      </c>
      <c r="C259" s="88" t="s">
        <v>331</v>
      </c>
      <c r="D259" s="483" t="s">
        <v>201</v>
      </c>
      <c r="E259" s="486" t="s">
        <v>407</v>
      </c>
      <c r="F259" s="487"/>
      <c r="G259" s="483" t="s">
        <v>406</v>
      </c>
      <c r="H259" s="93">
        <f>SUM(H260,H262)</f>
        <v>13300004</v>
      </c>
      <c r="I259" s="93">
        <f>SUM(I260,I262)</f>
        <v>6588373</v>
      </c>
      <c r="J259" s="93">
        <f t="shared" ref="J259:M259" si="100">SUM(J260,J262)</f>
        <v>2176745</v>
      </c>
      <c r="K259" s="93">
        <f t="shared" si="100"/>
        <v>2176745</v>
      </c>
      <c r="L259" s="93">
        <f t="shared" si="100"/>
        <v>2176745</v>
      </c>
      <c r="M259" s="93">
        <f t="shared" si="100"/>
        <v>181396</v>
      </c>
      <c r="N259" s="94"/>
      <c r="O259" s="94"/>
      <c r="P259" s="94"/>
      <c r="Q259" s="94"/>
      <c r="R259" s="94"/>
      <c r="S259" s="94"/>
      <c r="T259" s="94"/>
      <c r="U259" s="94"/>
      <c r="V259" s="93">
        <f>6527000+184631</f>
        <v>6711631</v>
      </c>
    </row>
    <row r="260" spans="1:22" s="8" customFormat="1" ht="15">
      <c r="A260" s="503" t="s">
        <v>375</v>
      </c>
      <c r="B260" s="504"/>
      <c r="C260" s="505"/>
      <c r="D260" s="484"/>
      <c r="E260" s="488"/>
      <c r="F260" s="489"/>
      <c r="G260" s="484"/>
      <c r="H260" s="100">
        <f>H261</f>
        <v>13300004</v>
      </c>
      <c r="I260" s="100">
        <f t="shared" ref="I260:M260" si="101">I261</f>
        <v>6588373</v>
      </c>
      <c r="J260" s="100">
        <f t="shared" si="101"/>
        <v>2176745</v>
      </c>
      <c r="K260" s="100">
        <f t="shared" si="101"/>
        <v>2176745</v>
      </c>
      <c r="L260" s="100">
        <f t="shared" si="101"/>
        <v>2176745</v>
      </c>
      <c r="M260" s="100">
        <f t="shared" si="101"/>
        <v>181396</v>
      </c>
      <c r="N260" s="166"/>
      <c r="O260" s="166"/>
      <c r="P260" s="166"/>
      <c r="Q260" s="166"/>
      <c r="R260" s="166"/>
      <c r="S260" s="166"/>
      <c r="T260" s="166"/>
      <c r="U260" s="166"/>
      <c r="V260" s="166"/>
    </row>
    <row r="261" spans="1:22" s="8" customFormat="1" ht="15">
      <c r="A261" s="164"/>
      <c r="B261" s="498" t="s">
        <v>376</v>
      </c>
      <c r="C261" s="499"/>
      <c r="D261" s="484"/>
      <c r="E261" s="488"/>
      <c r="F261" s="489"/>
      <c r="G261" s="484"/>
      <c r="H261" s="100">
        <v>13300004</v>
      </c>
      <c r="I261" s="100">
        <v>6588373</v>
      </c>
      <c r="J261" s="100">
        <v>2176745</v>
      </c>
      <c r="K261" s="100">
        <v>2176745</v>
      </c>
      <c r="L261" s="100">
        <v>2176745</v>
      </c>
      <c r="M261" s="100">
        <v>181396</v>
      </c>
      <c r="N261" s="166"/>
      <c r="O261" s="166"/>
      <c r="P261" s="166"/>
      <c r="Q261" s="166"/>
      <c r="R261" s="166"/>
      <c r="S261" s="166"/>
      <c r="T261" s="166"/>
      <c r="U261" s="166"/>
      <c r="V261" s="166"/>
    </row>
    <row r="262" spans="1:22" s="8" customFormat="1" ht="15">
      <c r="A262" s="495" t="s">
        <v>196</v>
      </c>
      <c r="B262" s="496"/>
      <c r="C262" s="497"/>
      <c r="D262" s="485"/>
      <c r="E262" s="490"/>
      <c r="F262" s="491"/>
      <c r="G262" s="485"/>
      <c r="H262" s="100"/>
      <c r="I262" s="100"/>
      <c r="J262" s="100"/>
      <c r="K262" s="100"/>
      <c r="L262" s="166"/>
      <c r="M262" s="166"/>
      <c r="N262" s="166"/>
      <c r="O262" s="166"/>
      <c r="P262" s="166"/>
      <c r="Q262" s="166"/>
      <c r="R262" s="166"/>
      <c r="S262" s="166"/>
      <c r="T262" s="166"/>
      <c r="U262" s="166"/>
      <c r="V262" s="166"/>
    </row>
    <row r="263" spans="1:22" s="8" customFormat="1" ht="69" customHeight="1">
      <c r="A263" s="88">
        <v>13</v>
      </c>
      <c r="B263" s="88" t="s">
        <v>333</v>
      </c>
      <c r="C263" s="88" t="s">
        <v>334</v>
      </c>
      <c r="D263" s="483" t="s">
        <v>201</v>
      </c>
      <c r="E263" s="486" t="s">
        <v>408</v>
      </c>
      <c r="F263" s="487"/>
      <c r="G263" s="483" t="s">
        <v>393</v>
      </c>
      <c r="H263" s="93">
        <f>SUM(H264,H266)</f>
        <v>3046680</v>
      </c>
      <c r="I263" s="93">
        <f t="shared" ref="I263:U263" si="102">SUM(I264,I266)</f>
        <v>331600</v>
      </c>
      <c r="J263" s="93">
        <f t="shared" si="102"/>
        <v>200000</v>
      </c>
      <c r="K263" s="93">
        <f t="shared" si="102"/>
        <v>200000</v>
      </c>
      <c r="L263" s="93">
        <f t="shared" si="102"/>
        <v>200000</v>
      </c>
      <c r="M263" s="93">
        <f t="shared" si="102"/>
        <v>200000</v>
      </c>
      <c r="N263" s="93">
        <f t="shared" si="102"/>
        <v>200000</v>
      </c>
      <c r="O263" s="93">
        <f t="shared" si="102"/>
        <v>200000</v>
      </c>
      <c r="P263" s="93">
        <f t="shared" si="102"/>
        <v>200000</v>
      </c>
      <c r="Q263" s="93">
        <f t="shared" si="102"/>
        <v>200000</v>
      </c>
      <c r="R263" s="93">
        <f t="shared" si="102"/>
        <v>200000</v>
      </c>
      <c r="S263" s="93">
        <f t="shared" si="102"/>
        <v>200000</v>
      </c>
      <c r="T263" s="93">
        <f t="shared" si="102"/>
        <v>200000</v>
      </c>
      <c r="U263" s="93">
        <f t="shared" si="102"/>
        <v>200000</v>
      </c>
      <c r="V263" s="93">
        <v>400000</v>
      </c>
    </row>
    <row r="264" spans="1:22" s="8" customFormat="1" ht="15">
      <c r="A264" s="503" t="s">
        <v>375</v>
      </c>
      <c r="B264" s="504"/>
      <c r="C264" s="505"/>
      <c r="D264" s="484"/>
      <c r="E264" s="488"/>
      <c r="F264" s="489"/>
      <c r="G264" s="484"/>
      <c r="H264" s="100">
        <f>H265</f>
        <v>3046680</v>
      </c>
      <c r="I264" s="100">
        <f t="shared" ref="I264:U264" si="103">I265</f>
        <v>331600</v>
      </c>
      <c r="J264" s="100">
        <f t="shared" si="103"/>
        <v>200000</v>
      </c>
      <c r="K264" s="100">
        <f t="shared" si="103"/>
        <v>200000</v>
      </c>
      <c r="L264" s="100">
        <f t="shared" si="103"/>
        <v>200000</v>
      </c>
      <c r="M264" s="100">
        <f t="shared" si="103"/>
        <v>200000</v>
      </c>
      <c r="N264" s="100">
        <f t="shared" si="103"/>
        <v>200000</v>
      </c>
      <c r="O264" s="100">
        <f t="shared" si="103"/>
        <v>200000</v>
      </c>
      <c r="P264" s="100">
        <f t="shared" si="103"/>
        <v>200000</v>
      </c>
      <c r="Q264" s="100">
        <f t="shared" si="103"/>
        <v>200000</v>
      </c>
      <c r="R264" s="100">
        <f t="shared" si="103"/>
        <v>200000</v>
      </c>
      <c r="S264" s="100">
        <f t="shared" si="103"/>
        <v>200000</v>
      </c>
      <c r="T264" s="100">
        <f t="shared" si="103"/>
        <v>200000</v>
      </c>
      <c r="U264" s="100">
        <f t="shared" si="103"/>
        <v>200000</v>
      </c>
      <c r="V264" s="166"/>
    </row>
    <row r="265" spans="1:22" s="8" customFormat="1" ht="15">
      <c r="A265" s="178"/>
      <c r="B265" s="506" t="s">
        <v>376</v>
      </c>
      <c r="C265" s="507"/>
      <c r="D265" s="484"/>
      <c r="E265" s="488"/>
      <c r="F265" s="489"/>
      <c r="G265" s="484"/>
      <c r="H265" s="100">
        <v>3046680</v>
      </c>
      <c r="I265" s="100">
        <f>200000+131600</f>
        <v>331600</v>
      </c>
      <c r="J265" s="100">
        <v>200000</v>
      </c>
      <c r="K265" s="100">
        <v>200000</v>
      </c>
      <c r="L265" s="100">
        <v>200000</v>
      </c>
      <c r="M265" s="100">
        <v>200000</v>
      </c>
      <c r="N265" s="100">
        <v>200000</v>
      </c>
      <c r="O265" s="100">
        <v>200000</v>
      </c>
      <c r="P265" s="100">
        <v>200000</v>
      </c>
      <c r="Q265" s="100">
        <v>200000</v>
      </c>
      <c r="R265" s="100">
        <v>200000</v>
      </c>
      <c r="S265" s="100">
        <v>200000</v>
      </c>
      <c r="T265" s="100">
        <v>200000</v>
      </c>
      <c r="U265" s="100">
        <v>200000</v>
      </c>
      <c r="V265" s="166"/>
    </row>
    <row r="266" spans="1:22" s="8" customFormat="1" ht="15">
      <c r="A266" s="503" t="s">
        <v>196</v>
      </c>
      <c r="B266" s="504"/>
      <c r="C266" s="505"/>
      <c r="D266" s="485"/>
      <c r="E266" s="490"/>
      <c r="F266" s="491"/>
      <c r="G266" s="485"/>
      <c r="H266" s="100"/>
      <c r="I266" s="100"/>
      <c r="J266" s="100"/>
      <c r="K266" s="100"/>
      <c r="L266" s="166"/>
      <c r="M266" s="166"/>
      <c r="N266" s="166"/>
      <c r="O266" s="166"/>
      <c r="P266" s="166"/>
      <c r="Q266" s="166"/>
      <c r="R266" s="166"/>
      <c r="S266" s="166"/>
      <c r="T266" s="166"/>
      <c r="U266" s="166"/>
      <c r="V266" s="166"/>
    </row>
    <row r="267" spans="1:22" s="8" customFormat="1" ht="30">
      <c r="A267" s="88">
        <v>14</v>
      </c>
      <c r="B267" s="88" t="s">
        <v>335</v>
      </c>
      <c r="C267" s="88" t="s">
        <v>336</v>
      </c>
      <c r="D267" s="483" t="s">
        <v>245</v>
      </c>
      <c r="E267" s="486" t="s">
        <v>365</v>
      </c>
      <c r="F267" s="487"/>
      <c r="G267" s="483" t="s">
        <v>409</v>
      </c>
      <c r="H267" s="93">
        <f>SUM(H268,H270)</f>
        <v>3398617</v>
      </c>
      <c r="I267" s="93">
        <f t="shared" ref="I267:K267" si="104">SUM(I268,I270)</f>
        <v>700000</v>
      </c>
      <c r="J267" s="93">
        <f t="shared" si="104"/>
        <v>800000</v>
      </c>
      <c r="K267" s="93">
        <f t="shared" si="104"/>
        <v>800000</v>
      </c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3">
        <v>0</v>
      </c>
    </row>
    <row r="268" spans="1:22" s="8" customFormat="1" ht="15">
      <c r="A268" s="503" t="s">
        <v>375</v>
      </c>
      <c r="B268" s="504"/>
      <c r="C268" s="505"/>
      <c r="D268" s="484"/>
      <c r="E268" s="488"/>
      <c r="F268" s="489"/>
      <c r="G268" s="484"/>
      <c r="H268" s="100">
        <f>H269</f>
        <v>3398617</v>
      </c>
      <c r="I268" s="100">
        <f t="shared" ref="I268:K268" si="105">I269</f>
        <v>700000</v>
      </c>
      <c r="J268" s="100">
        <f t="shared" si="105"/>
        <v>800000</v>
      </c>
      <c r="K268" s="100">
        <f t="shared" si="105"/>
        <v>800000</v>
      </c>
      <c r="L268" s="166"/>
      <c r="M268" s="166"/>
      <c r="N268" s="166"/>
      <c r="O268" s="166"/>
      <c r="P268" s="166"/>
      <c r="Q268" s="166"/>
      <c r="R268" s="166"/>
      <c r="S268" s="166"/>
      <c r="T268" s="166"/>
      <c r="U268" s="166"/>
      <c r="V268" s="166"/>
    </row>
    <row r="269" spans="1:22" s="8" customFormat="1" ht="15">
      <c r="A269" s="178"/>
      <c r="B269" s="506" t="s">
        <v>376</v>
      </c>
      <c r="C269" s="507"/>
      <c r="D269" s="484"/>
      <c r="E269" s="488"/>
      <c r="F269" s="489"/>
      <c r="G269" s="484"/>
      <c r="H269" s="100">
        <f>3400000-1383</f>
        <v>3398617</v>
      </c>
      <c r="I269" s="100">
        <v>700000</v>
      </c>
      <c r="J269" s="100">
        <v>800000</v>
      </c>
      <c r="K269" s="100">
        <v>800000</v>
      </c>
      <c r="L269" s="166"/>
      <c r="M269" s="166"/>
      <c r="N269" s="166"/>
      <c r="O269" s="166"/>
      <c r="P269" s="166"/>
      <c r="Q269" s="166"/>
      <c r="R269" s="166"/>
      <c r="S269" s="166"/>
      <c r="T269" s="166"/>
      <c r="U269" s="166"/>
      <c r="V269" s="166"/>
    </row>
    <row r="270" spans="1:22" s="8" customFormat="1" ht="15">
      <c r="A270" s="503" t="s">
        <v>196</v>
      </c>
      <c r="B270" s="504"/>
      <c r="C270" s="505"/>
      <c r="D270" s="485"/>
      <c r="E270" s="490"/>
      <c r="F270" s="491"/>
      <c r="G270" s="485"/>
      <c r="H270" s="100"/>
      <c r="I270" s="100"/>
      <c r="J270" s="100"/>
      <c r="K270" s="100"/>
      <c r="L270" s="166"/>
      <c r="M270" s="166"/>
      <c r="N270" s="166"/>
      <c r="O270" s="166"/>
      <c r="P270" s="166"/>
      <c r="Q270" s="166"/>
      <c r="R270" s="166"/>
      <c r="S270" s="166"/>
      <c r="T270" s="166"/>
      <c r="U270" s="166"/>
      <c r="V270" s="166"/>
    </row>
    <row r="271" spans="1:22" ht="75">
      <c r="A271" s="104">
        <v>15</v>
      </c>
      <c r="B271" s="104" t="s">
        <v>337</v>
      </c>
      <c r="C271" s="104" t="s">
        <v>338</v>
      </c>
      <c r="D271" s="508" t="s">
        <v>245</v>
      </c>
      <c r="E271" s="511" t="s">
        <v>410</v>
      </c>
      <c r="F271" s="512"/>
      <c r="G271" s="508" t="s">
        <v>411</v>
      </c>
      <c r="H271" s="107">
        <f>SUM(H272,H274)</f>
        <v>7647248</v>
      </c>
      <c r="I271" s="107">
        <f t="shared" ref="I271:P271" si="106">SUM(I272,I274)</f>
        <v>536500</v>
      </c>
      <c r="J271" s="107">
        <f t="shared" si="106"/>
        <v>536500</v>
      </c>
      <c r="K271" s="107">
        <f t="shared" si="106"/>
        <v>777925</v>
      </c>
      <c r="L271" s="107">
        <f t="shared" si="106"/>
        <v>777925</v>
      </c>
      <c r="M271" s="107">
        <f t="shared" si="106"/>
        <v>777925</v>
      </c>
      <c r="N271" s="107">
        <f t="shared" si="106"/>
        <v>1127991</v>
      </c>
      <c r="O271" s="107">
        <f t="shared" si="106"/>
        <v>1127991</v>
      </c>
      <c r="P271" s="107">
        <f t="shared" si="106"/>
        <v>1127991</v>
      </c>
      <c r="Q271" s="123"/>
      <c r="R271" s="123"/>
      <c r="S271" s="123"/>
      <c r="T271" s="123"/>
      <c r="U271" s="123"/>
      <c r="V271" s="107">
        <v>0</v>
      </c>
    </row>
    <row r="272" spans="1:22" ht="15">
      <c r="A272" s="520" t="s">
        <v>375</v>
      </c>
      <c r="B272" s="521"/>
      <c r="C272" s="522"/>
      <c r="D272" s="509"/>
      <c r="E272" s="513"/>
      <c r="F272" s="514"/>
      <c r="G272" s="509"/>
      <c r="H272" s="113">
        <f>H273</f>
        <v>7647248</v>
      </c>
      <c r="I272" s="113">
        <f t="shared" ref="I272:P272" si="107">I273</f>
        <v>536500</v>
      </c>
      <c r="J272" s="113">
        <f t="shared" si="107"/>
        <v>536500</v>
      </c>
      <c r="K272" s="113">
        <f t="shared" si="107"/>
        <v>777925</v>
      </c>
      <c r="L272" s="113">
        <f t="shared" si="107"/>
        <v>777925</v>
      </c>
      <c r="M272" s="113">
        <f t="shared" si="107"/>
        <v>777925</v>
      </c>
      <c r="N272" s="113">
        <f t="shared" si="107"/>
        <v>1127991</v>
      </c>
      <c r="O272" s="113">
        <f t="shared" si="107"/>
        <v>1127991</v>
      </c>
      <c r="P272" s="113">
        <f t="shared" si="107"/>
        <v>1127991</v>
      </c>
      <c r="Q272" s="113"/>
      <c r="R272" s="113"/>
      <c r="S272" s="122"/>
      <c r="T272" s="122"/>
      <c r="U272" s="122"/>
      <c r="V272" s="122"/>
    </row>
    <row r="273" spans="1:22" ht="15">
      <c r="A273" s="186"/>
      <c r="B273" s="523" t="s">
        <v>376</v>
      </c>
      <c r="C273" s="524"/>
      <c r="D273" s="509"/>
      <c r="E273" s="513"/>
      <c r="F273" s="514"/>
      <c r="G273" s="509"/>
      <c r="H273" s="113">
        <v>7647248</v>
      </c>
      <c r="I273" s="113">
        <v>536500</v>
      </c>
      <c r="J273" s="113">
        <v>536500</v>
      </c>
      <c r="K273" s="113">
        <v>777925</v>
      </c>
      <c r="L273" s="113">
        <v>777925</v>
      </c>
      <c r="M273" s="113">
        <v>777925</v>
      </c>
      <c r="N273" s="113">
        <v>1127991</v>
      </c>
      <c r="O273" s="113">
        <v>1127991</v>
      </c>
      <c r="P273" s="113">
        <v>1127991</v>
      </c>
      <c r="Q273" s="113"/>
      <c r="R273" s="113"/>
      <c r="S273" s="122"/>
      <c r="T273" s="122"/>
      <c r="U273" s="122"/>
      <c r="V273" s="122"/>
    </row>
    <row r="274" spans="1:22" ht="15">
      <c r="A274" s="520" t="s">
        <v>196</v>
      </c>
      <c r="B274" s="521"/>
      <c r="C274" s="522"/>
      <c r="D274" s="510"/>
      <c r="E274" s="515"/>
      <c r="F274" s="516"/>
      <c r="G274" s="510"/>
      <c r="H274" s="113"/>
      <c r="I274" s="113"/>
      <c r="J274" s="113"/>
      <c r="K274" s="113"/>
      <c r="L274" s="122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</row>
    <row r="275" spans="1:22" s="8" customFormat="1" ht="50.25" customHeight="1">
      <c r="A275" s="88">
        <v>16</v>
      </c>
      <c r="B275" s="96" t="s">
        <v>351</v>
      </c>
      <c r="C275" s="97" t="s">
        <v>352</v>
      </c>
      <c r="D275" s="483" t="s">
        <v>353</v>
      </c>
      <c r="E275" s="486" t="s">
        <v>370</v>
      </c>
      <c r="F275" s="487"/>
      <c r="G275" s="483" t="s">
        <v>412</v>
      </c>
      <c r="H275" s="93">
        <f>SUM(H276,H277)</f>
        <v>5805000</v>
      </c>
      <c r="I275" s="93">
        <f t="shared" ref="I275:J275" si="108">SUM(I276:I277)</f>
        <v>3200000</v>
      </c>
      <c r="J275" s="93">
        <f t="shared" si="108"/>
        <v>2159491</v>
      </c>
      <c r="K275" s="93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3">
        <v>0</v>
      </c>
    </row>
    <row r="276" spans="1:22" s="8" customFormat="1" ht="15">
      <c r="A276" s="503" t="s">
        <v>194</v>
      </c>
      <c r="B276" s="504"/>
      <c r="C276" s="505"/>
      <c r="D276" s="484"/>
      <c r="E276" s="488"/>
      <c r="F276" s="489"/>
      <c r="G276" s="484"/>
      <c r="H276" s="100"/>
      <c r="I276" s="100"/>
      <c r="J276" s="100"/>
      <c r="K276" s="100"/>
      <c r="L276" s="166"/>
      <c r="M276" s="166"/>
      <c r="N276" s="166"/>
      <c r="O276" s="166"/>
      <c r="P276" s="166"/>
      <c r="Q276" s="166"/>
      <c r="R276" s="166"/>
      <c r="S276" s="166"/>
      <c r="T276" s="166"/>
      <c r="U276" s="166"/>
      <c r="V276" s="166"/>
    </row>
    <row r="277" spans="1:22" s="8" customFormat="1" ht="15">
      <c r="A277" s="503" t="s">
        <v>362</v>
      </c>
      <c r="B277" s="504"/>
      <c r="C277" s="505"/>
      <c r="D277" s="484"/>
      <c r="E277" s="488"/>
      <c r="F277" s="489"/>
      <c r="G277" s="484"/>
      <c r="H277" s="100">
        <f>H278</f>
        <v>5805000</v>
      </c>
      <c r="I277" s="100">
        <f>SUM(I278:I278)</f>
        <v>3200000</v>
      </c>
      <c r="J277" s="100">
        <f>SUM(J278:J278)</f>
        <v>2159491</v>
      </c>
      <c r="K277" s="100"/>
      <c r="L277" s="166"/>
      <c r="M277" s="166"/>
      <c r="N277" s="166"/>
      <c r="O277" s="166"/>
      <c r="P277" s="166"/>
      <c r="Q277" s="166"/>
      <c r="R277" s="166"/>
      <c r="S277" s="166"/>
      <c r="T277" s="166"/>
      <c r="U277" s="166"/>
      <c r="V277" s="166"/>
    </row>
    <row r="278" spans="1:22" s="8" customFormat="1" ht="15">
      <c r="A278" s="178"/>
      <c r="B278" s="506" t="s">
        <v>376</v>
      </c>
      <c r="C278" s="507"/>
      <c r="D278" s="485"/>
      <c r="E278" s="490"/>
      <c r="F278" s="491"/>
      <c r="G278" s="485"/>
      <c r="H278" s="100">
        <v>5805000</v>
      </c>
      <c r="I278" s="100">
        <v>3200000</v>
      </c>
      <c r="J278" s="100">
        <v>2159491</v>
      </c>
      <c r="K278" s="100"/>
      <c r="L278" s="166"/>
      <c r="M278" s="166"/>
      <c r="N278" s="166"/>
      <c r="O278" s="166"/>
      <c r="P278" s="166"/>
      <c r="Q278" s="166"/>
      <c r="R278" s="166"/>
      <c r="S278" s="166"/>
      <c r="T278" s="166"/>
      <c r="U278" s="166"/>
      <c r="V278" s="166"/>
    </row>
    <row r="279" spans="1:22" ht="15">
      <c r="A279" s="109"/>
      <c r="B279" s="187"/>
      <c r="C279" s="187"/>
      <c r="D279" s="109"/>
      <c r="E279" s="473"/>
      <c r="F279" s="474"/>
      <c r="G279" s="179"/>
      <c r="H279" s="113"/>
      <c r="I279" s="113"/>
      <c r="J279" s="113"/>
      <c r="K279" s="113"/>
      <c r="L279" s="122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</row>
    <row r="280" spans="1:22" s="133" customFormat="1">
      <c r="A280" s="188"/>
      <c r="B280" s="189"/>
      <c r="C280" s="189"/>
      <c r="D280" s="188"/>
      <c r="E280" s="188"/>
      <c r="F280" s="188"/>
      <c r="G280" s="188"/>
      <c r="H280" s="170"/>
      <c r="I280" s="170"/>
      <c r="J280" s="170"/>
      <c r="K280" s="170"/>
      <c r="L280" s="170"/>
      <c r="M280" s="170"/>
      <c r="N280" s="170"/>
      <c r="O280" s="170"/>
      <c r="P280" s="170"/>
      <c r="Q280" s="170"/>
      <c r="R280" s="170"/>
      <c r="S280" s="170"/>
      <c r="T280" s="170"/>
      <c r="U280" s="170"/>
      <c r="V280" s="170"/>
    </row>
    <row r="281" spans="1:22" s="135" customFormat="1" ht="15">
      <c r="A281" s="535" t="s">
        <v>355</v>
      </c>
      <c r="B281" s="536"/>
      <c r="C281" s="537"/>
      <c r="D281" s="190"/>
      <c r="E281" s="538"/>
      <c r="F281" s="539"/>
      <c r="G281" s="191"/>
      <c r="H281" s="134">
        <f>SUM(H286,H291)</f>
        <v>2484664391</v>
      </c>
      <c r="I281" s="134">
        <f t="shared" ref="I281:U282" si="109">SUM(I286,I291)</f>
        <v>842661913</v>
      </c>
      <c r="J281" s="134">
        <f t="shared" si="109"/>
        <v>823324143</v>
      </c>
      <c r="K281" s="134">
        <f t="shared" si="109"/>
        <v>257229070</v>
      </c>
      <c r="L281" s="134">
        <f t="shared" si="109"/>
        <v>22696473</v>
      </c>
      <c r="M281" s="134">
        <f t="shared" si="109"/>
        <v>18279708</v>
      </c>
      <c r="N281" s="134">
        <f t="shared" si="109"/>
        <v>18640922</v>
      </c>
      <c r="O281" s="134">
        <f t="shared" si="109"/>
        <v>6048413</v>
      </c>
      <c r="P281" s="134">
        <f t="shared" si="109"/>
        <v>5820597</v>
      </c>
      <c r="Q281" s="134">
        <f t="shared" si="109"/>
        <v>200000</v>
      </c>
      <c r="R281" s="134">
        <f t="shared" si="109"/>
        <v>200000</v>
      </c>
      <c r="S281" s="134">
        <f t="shared" si="109"/>
        <v>200000</v>
      </c>
      <c r="T281" s="134">
        <f t="shared" si="109"/>
        <v>200000</v>
      </c>
      <c r="U281" s="134">
        <f t="shared" si="109"/>
        <v>200000</v>
      </c>
      <c r="V281" s="134">
        <f>SUM(V9,V205)</f>
        <v>955904176</v>
      </c>
    </row>
    <row r="282" spans="1:22" s="135" customFormat="1" ht="15">
      <c r="A282" s="192"/>
      <c r="B282" s="540" t="s">
        <v>363</v>
      </c>
      <c r="C282" s="541"/>
      <c r="D282" s="190"/>
      <c r="E282" s="136"/>
      <c r="F282" s="137"/>
      <c r="G282" s="191"/>
      <c r="H282" s="134">
        <f>SUM(H287,H292)</f>
        <v>1198320785</v>
      </c>
      <c r="I282" s="134">
        <f t="shared" si="109"/>
        <v>537542209</v>
      </c>
      <c r="J282" s="134">
        <f t="shared" si="109"/>
        <v>493900832</v>
      </c>
      <c r="K282" s="134">
        <f t="shared" si="109"/>
        <v>104607718</v>
      </c>
      <c r="L282" s="134">
        <f t="shared" si="109"/>
        <v>0</v>
      </c>
      <c r="M282" s="134">
        <f t="shared" si="109"/>
        <v>0</v>
      </c>
      <c r="N282" s="134">
        <f t="shared" si="109"/>
        <v>0</v>
      </c>
      <c r="O282" s="134">
        <f t="shared" si="109"/>
        <v>0</v>
      </c>
      <c r="P282" s="134">
        <f t="shared" si="109"/>
        <v>0</v>
      </c>
      <c r="Q282" s="134">
        <f t="shared" si="109"/>
        <v>0</v>
      </c>
      <c r="R282" s="134">
        <f t="shared" si="109"/>
        <v>0</v>
      </c>
      <c r="S282" s="134">
        <f t="shared" si="109"/>
        <v>0</v>
      </c>
      <c r="T282" s="134">
        <f t="shared" si="109"/>
        <v>0</v>
      </c>
      <c r="U282" s="134">
        <f t="shared" si="109"/>
        <v>0</v>
      </c>
      <c r="V282" s="134"/>
    </row>
    <row r="283" spans="1:22" s="135" customFormat="1" ht="15">
      <c r="A283" s="193"/>
      <c r="B283" s="540" t="s">
        <v>376</v>
      </c>
      <c r="C283" s="541"/>
      <c r="D283" s="190"/>
      <c r="E283" s="136"/>
      <c r="F283" s="137"/>
      <c r="G283" s="191"/>
      <c r="H283" s="134">
        <f t="shared" ref="H283:U285" si="110">SUM(H288,H293)</f>
        <v>467932823</v>
      </c>
      <c r="I283" s="134">
        <f t="shared" si="110"/>
        <v>128458670</v>
      </c>
      <c r="J283" s="134">
        <f t="shared" si="110"/>
        <v>141572254</v>
      </c>
      <c r="K283" s="134">
        <f t="shared" si="110"/>
        <v>69318602</v>
      </c>
      <c r="L283" s="134">
        <f t="shared" si="110"/>
        <v>15863973</v>
      </c>
      <c r="M283" s="134">
        <f t="shared" si="110"/>
        <v>15279708</v>
      </c>
      <c r="N283" s="134">
        <f t="shared" si="110"/>
        <v>18640922</v>
      </c>
      <c r="O283" s="134">
        <f t="shared" si="110"/>
        <v>6048413</v>
      </c>
      <c r="P283" s="134">
        <f t="shared" si="110"/>
        <v>5820597</v>
      </c>
      <c r="Q283" s="134">
        <f t="shared" si="110"/>
        <v>200000</v>
      </c>
      <c r="R283" s="134">
        <f t="shared" si="110"/>
        <v>200000</v>
      </c>
      <c r="S283" s="134">
        <f t="shared" si="110"/>
        <v>200000</v>
      </c>
      <c r="T283" s="134">
        <f t="shared" si="110"/>
        <v>200000</v>
      </c>
      <c r="U283" s="134">
        <f t="shared" si="110"/>
        <v>200000</v>
      </c>
      <c r="V283" s="134"/>
    </row>
    <row r="284" spans="1:22" s="135" customFormat="1" ht="15">
      <c r="A284" s="193"/>
      <c r="B284" s="540" t="s">
        <v>364</v>
      </c>
      <c r="C284" s="541"/>
      <c r="D284" s="190"/>
      <c r="E284" s="136"/>
      <c r="F284" s="137"/>
      <c r="G284" s="191"/>
      <c r="H284" s="134">
        <f t="shared" si="110"/>
        <v>760289297</v>
      </c>
      <c r="I284" s="134">
        <f t="shared" si="110"/>
        <v>171390309</v>
      </c>
      <c r="J284" s="134">
        <f t="shared" si="110"/>
        <v>177734181</v>
      </c>
      <c r="K284" s="134">
        <f t="shared" si="110"/>
        <v>69800095</v>
      </c>
      <c r="L284" s="134">
        <f t="shared" si="110"/>
        <v>0</v>
      </c>
      <c r="M284" s="134">
        <f t="shared" si="110"/>
        <v>0</v>
      </c>
      <c r="N284" s="134">
        <f t="shared" si="110"/>
        <v>0</v>
      </c>
      <c r="O284" s="134">
        <f t="shared" si="110"/>
        <v>0</v>
      </c>
      <c r="P284" s="134">
        <f t="shared" si="110"/>
        <v>0</v>
      </c>
      <c r="Q284" s="134">
        <f t="shared" si="110"/>
        <v>0</v>
      </c>
      <c r="R284" s="134">
        <f t="shared" si="110"/>
        <v>0</v>
      </c>
      <c r="S284" s="134">
        <f t="shared" si="110"/>
        <v>0</v>
      </c>
      <c r="T284" s="134">
        <f t="shared" si="110"/>
        <v>0</v>
      </c>
      <c r="U284" s="134">
        <f t="shared" si="110"/>
        <v>0</v>
      </c>
      <c r="V284" s="134"/>
    </row>
    <row r="285" spans="1:22" s="135" customFormat="1" ht="15">
      <c r="A285" s="192"/>
      <c r="B285" s="540" t="s">
        <v>403</v>
      </c>
      <c r="C285" s="541"/>
      <c r="D285" s="190"/>
      <c r="E285" s="136"/>
      <c r="F285" s="137"/>
      <c r="G285" s="191" t="s">
        <v>413</v>
      </c>
      <c r="H285" s="134">
        <f t="shared" si="110"/>
        <v>58121486</v>
      </c>
      <c r="I285" s="134">
        <f t="shared" si="110"/>
        <v>5270725</v>
      </c>
      <c r="J285" s="134">
        <f t="shared" si="110"/>
        <v>10116876</v>
      </c>
      <c r="K285" s="134">
        <f t="shared" si="110"/>
        <v>13502655</v>
      </c>
      <c r="L285" s="134">
        <f t="shared" si="110"/>
        <v>6832500</v>
      </c>
      <c r="M285" s="134">
        <f t="shared" si="110"/>
        <v>3000000</v>
      </c>
      <c r="N285" s="134">
        <f t="shared" si="110"/>
        <v>0</v>
      </c>
      <c r="O285" s="134">
        <f t="shared" si="110"/>
        <v>0</v>
      </c>
      <c r="P285" s="134">
        <f t="shared" si="110"/>
        <v>0</v>
      </c>
      <c r="Q285" s="134">
        <f t="shared" si="110"/>
        <v>0</v>
      </c>
      <c r="R285" s="134">
        <f t="shared" si="110"/>
        <v>0</v>
      </c>
      <c r="S285" s="134">
        <f t="shared" si="110"/>
        <v>0</v>
      </c>
      <c r="T285" s="134">
        <f t="shared" si="110"/>
        <v>0</v>
      </c>
      <c r="U285" s="134">
        <f t="shared" si="110"/>
        <v>0</v>
      </c>
      <c r="V285" s="134"/>
    </row>
    <row r="286" spans="1:22" s="135" customFormat="1" ht="15">
      <c r="A286" s="542" t="s">
        <v>194</v>
      </c>
      <c r="B286" s="543"/>
      <c r="C286" s="544"/>
      <c r="D286" s="190"/>
      <c r="E286" s="545"/>
      <c r="F286" s="546"/>
      <c r="G286" s="191"/>
      <c r="H286" s="134">
        <f>SUM(H287:H290)</f>
        <v>561830541</v>
      </c>
      <c r="I286" s="134">
        <f t="shared" ref="I286:U286" si="111">SUM(I287:I290)</f>
        <v>133253291</v>
      </c>
      <c r="J286" s="134">
        <f t="shared" si="111"/>
        <v>119614902</v>
      </c>
      <c r="K286" s="134">
        <f t="shared" si="111"/>
        <v>50197979</v>
      </c>
      <c r="L286" s="134">
        <f t="shared" si="111"/>
        <v>9696473</v>
      </c>
      <c r="M286" s="134">
        <f t="shared" si="111"/>
        <v>5279708</v>
      </c>
      <c r="N286" s="134">
        <f t="shared" si="111"/>
        <v>3640922</v>
      </c>
      <c r="O286" s="134">
        <f t="shared" si="111"/>
        <v>3221814</v>
      </c>
      <c r="P286" s="134">
        <f t="shared" si="111"/>
        <v>2993998</v>
      </c>
      <c r="Q286" s="134">
        <f t="shared" si="111"/>
        <v>200000</v>
      </c>
      <c r="R286" s="134">
        <f t="shared" si="111"/>
        <v>200000</v>
      </c>
      <c r="S286" s="134">
        <f t="shared" si="111"/>
        <v>200000</v>
      </c>
      <c r="T286" s="134">
        <f t="shared" si="111"/>
        <v>200000</v>
      </c>
      <c r="U286" s="134">
        <f t="shared" si="111"/>
        <v>200000</v>
      </c>
      <c r="V286" s="134"/>
    </row>
    <row r="287" spans="1:22" s="135" customFormat="1" ht="15">
      <c r="A287" s="192"/>
      <c r="B287" s="540" t="s">
        <v>363</v>
      </c>
      <c r="C287" s="541"/>
      <c r="D287" s="190"/>
      <c r="E287" s="136"/>
      <c r="F287" s="137"/>
      <c r="G287" s="191"/>
      <c r="H287" s="134">
        <f>SUM(,H68,H74,H145,H173,H190,H163,H168,H183,H178)</f>
        <v>85456386</v>
      </c>
      <c r="I287" s="134">
        <f t="shared" ref="I287:U287" si="112">SUM(,I68,I74,I145,I173,I190,I163,I168,I183,I178)</f>
        <v>32625364</v>
      </c>
      <c r="J287" s="134">
        <f t="shared" si="112"/>
        <v>36656057</v>
      </c>
      <c r="K287" s="134">
        <f t="shared" si="112"/>
        <v>1007920</v>
      </c>
      <c r="L287" s="134">
        <f t="shared" si="112"/>
        <v>0</v>
      </c>
      <c r="M287" s="134">
        <f t="shared" si="112"/>
        <v>0</v>
      </c>
      <c r="N287" s="134">
        <f t="shared" si="112"/>
        <v>0</v>
      </c>
      <c r="O287" s="134">
        <f t="shared" si="112"/>
        <v>0</v>
      </c>
      <c r="P287" s="134">
        <f t="shared" si="112"/>
        <v>0</v>
      </c>
      <c r="Q287" s="134">
        <f t="shared" si="112"/>
        <v>0</v>
      </c>
      <c r="R287" s="134">
        <f t="shared" si="112"/>
        <v>0</v>
      </c>
      <c r="S287" s="134">
        <f t="shared" si="112"/>
        <v>0</v>
      </c>
      <c r="T287" s="134">
        <f t="shared" si="112"/>
        <v>0</v>
      </c>
      <c r="U287" s="134">
        <f t="shared" si="112"/>
        <v>0</v>
      </c>
      <c r="V287" s="134"/>
    </row>
    <row r="288" spans="1:22" s="135" customFormat="1" ht="15">
      <c r="A288" s="193"/>
      <c r="B288" s="540" t="s">
        <v>376</v>
      </c>
      <c r="C288" s="541"/>
      <c r="D288" s="190"/>
      <c r="E288" s="136"/>
      <c r="F288" s="137"/>
      <c r="G288" s="191"/>
      <c r="H288" s="134">
        <f>SUM(,H69,H125,H75,H82,H132,H138,H191,H61,H210,H54,H245,H257,H265,H269,H273,H164,H169,H261,H253,H230,H235,H197,)</f>
        <v>141101144</v>
      </c>
      <c r="I288" s="134">
        <f t="shared" ref="I288:U288" si="113">SUM(,I69,I125,I75,I82,I132,I138,I191,I61,I210,I54,I245,I257,I265,I269,I273,I164,I169,I261,I253,I230,I235,I197,)</f>
        <v>30584333</v>
      </c>
      <c r="J288" s="134">
        <f t="shared" si="113"/>
        <v>19370208</v>
      </c>
      <c r="K288" s="134">
        <f t="shared" si="113"/>
        <v>18949978</v>
      </c>
      <c r="L288" s="134">
        <f t="shared" si="113"/>
        <v>5863973</v>
      </c>
      <c r="M288" s="134">
        <f t="shared" si="113"/>
        <v>5279708</v>
      </c>
      <c r="N288" s="134">
        <f t="shared" si="113"/>
        <v>3640922</v>
      </c>
      <c r="O288" s="134">
        <f t="shared" si="113"/>
        <v>3221814</v>
      </c>
      <c r="P288" s="134">
        <f t="shared" si="113"/>
        <v>2993998</v>
      </c>
      <c r="Q288" s="134">
        <f t="shared" si="113"/>
        <v>200000</v>
      </c>
      <c r="R288" s="134">
        <f t="shared" si="113"/>
        <v>200000</v>
      </c>
      <c r="S288" s="134">
        <f t="shared" si="113"/>
        <v>200000</v>
      </c>
      <c r="T288" s="134">
        <f t="shared" si="113"/>
        <v>200000</v>
      </c>
      <c r="U288" s="134">
        <f t="shared" si="113"/>
        <v>200000</v>
      </c>
      <c r="V288" s="134"/>
    </row>
    <row r="289" spans="1:23" s="135" customFormat="1" ht="15">
      <c r="A289" s="193"/>
      <c r="B289" s="540" t="s">
        <v>364</v>
      </c>
      <c r="C289" s="541"/>
      <c r="D289" s="190"/>
      <c r="E289" s="136"/>
      <c r="F289" s="137"/>
      <c r="G289" s="191"/>
      <c r="H289" s="134">
        <f>SUM(H214,H70,H146,H55,H62,H219,H152,H184,H179,H198)</f>
        <v>324973011</v>
      </c>
      <c r="I289" s="134">
        <f t="shared" ref="I289:U289" si="114">SUM(I214,I70,I146,I55,I62,I219,I152,I184,I179,I198)</f>
        <v>69943594</v>
      </c>
      <c r="J289" s="134">
        <f t="shared" si="114"/>
        <v>61008637</v>
      </c>
      <c r="K289" s="134">
        <f t="shared" si="114"/>
        <v>26452581</v>
      </c>
      <c r="L289" s="134">
        <f t="shared" si="114"/>
        <v>0</v>
      </c>
      <c r="M289" s="134">
        <f t="shared" si="114"/>
        <v>0</v>
      </c>
      <c r="N289" s="134">
        <f t="shared" si="114"/>
        <v>0</v>
      </c>
      <c r="O289" s="134">
        <f t="shared" si="114"/>
        <v>0</v>
      </c>
      <c r="P289" s="134">
        <f t="shared" si="114"/>
        <v>0</v>
      </c>
      <c r="Q289" s="134">
        <f t="shared" si="114"/>
        <v>0</v>
      </c>
      <c r="R289" s="134">
        <f t="shared" si="114"/>
        <v>0</v>
      </c>
      <c r="S289" s="134">
        <f t="shared" si="114"/>
        <v>0</v>
      </c>
      <c r="T289" s="134">
        <f t="shared" si="114"/>
        <v>0</v>
      </c>
      <c r="U289" s="134">
        <f t="shared" si="114"/>
        <v>0</v>
      </c>
      <c r="V289" s="134"/>
    </row>
    <row r="290" spans="1:23" s="135" customFormat="1" ht="15">
      <c r="A290" s="192"/>
      <c r="B290" s="540" t="s">
        <v>403</v>
      </c>
      <c r="C290" s="541"/>
      <c r="D290" s="190"/>
      <c r="E290" s="136"/>
      <c r="F290" s="137"/>
      <c r="G290" s="191"/>
      <c r="H290" s="134">
        <f>H231+H236</f>
        <v>10300000</v>
      </c>
      <c r="I290" s="134">
        <f t="shared" ref="I290:U290" si="115">I231+I236</f>
        <v>100000</v>
      </c>
      <c r="J290" s="134">
        <f t="shared" si="115"/>
        <v>2580000</v>
      </c>
      <c r="K290" s="134">
        <f t="shared" si="115"/>
        <v>3787500</v>
      </c>
      <c r="L290" s="134">
        <f t="shared" si="115"/>
        <v>3832500</v>
      </c>
      <c r="M290" s="134">
        <f t="shared" si="115"/>
        <v>0</v>
      </c>
      <c r="N290" s="134">
        <f t="shared" si="115"/>
        <v>0</v>
      </c>
      <c r="O290" s="134">
        <f t="shared" si="115"/>
        <v>0</v>
      </c>
      <c r="P290" s="134">
        <f t="shared" si="115"/>
        <v>0</v>
      </c>
      <c r="Q290" s="134">
        <f t="shared" si="115"/>
        <v>0</v>
      </c>
      <c r="R290" s="134">
        <f t="shared" si="115"/>
        <v>0</v>
      </c>
      <c r="S290" s="134">
        <f t="shared" si="115"/>
        <v>0</v>
      </c>
      <c r="T290" s="134">
        <f t="shared" si="115"/>
        <v>0</v>
      </c>
      <c r="U290" s="134">
        <f t="shared" si="115"/>
        <v>0</v>
      </c>
      <c r="V290" s="134"/>
    </row>
    <row r="291" spans="1:23" s="135" customFormat="1" ht="15">
      <c r="A291" s="542" t="s">
        <v>196</v>
      </c>
      <c r="B291" s="543"/>
      <c r="C291" s="544"/>
      <c r="D291" s="190"/>
      <c r="E291" s="545"/>
      <c r="F291" s="546"/>
      <c r="G291" s="191"/>
      <c r="H291" s="134">
        <f t="shared" ref="H291:U291" si="116">SUM(H292:H295)</f>
        <v>1922833850</v>
      </c>
      <c r="I291" s="134">
        <f t="shared" si="116"/>
        <v>709408622</v>
      </c>
      <c r="J291" s="134">
        <f t="shared" si="116"/>
        <v>703709241</v>
      </c>
      <c r="K291" s="134">
        <f t="shared" si="116"/>
        <v>207031091</v>
      </c>
      <c r="L291" s="134">
        <f t="shared" si="116"/>
        <v>13000000</v>
      </c>
      <c r="M291" s="134">
        <f t="shared" si="116"/>
        <v>13000000</v>
      </c>
      <c r="N291" s="134">
        <f t="shared" si="116"/>
        <v>15000000</v>
      </c>
      <c r="O291" s="134">
        <f t="shared" si="116"/>
        <v>2826599</v>
      </c>
      <c r="P291" s="134">
        <f t="shared" si="116"/>
        <v>2826599</v>
      </c>
      <c r="Q291" s="134">
        <f t="shared" si="116"/>
        <v>0</v>
      </c>
      <c r="R291" s="134">
        <f t="shared" si="116"/>
        <v>0</v>
      </c>
      <c r="S291" s="134">
        <f t="shared" si="116"/>
        <v>0</v>
      </c>
      <c r="T291" s="134">
        <f t="shared" si="116"/>
        <v>0</v>
      </c>
      <c r="U291" s="134">
        <f t="shared" si="116"/>
        <v>0</v>
      </c>
      <c r="V291" s="134"/>
    </row>
    <row r="292" spans="1:23" s="135" customFormat="1" ht="15">
      <c r="A292" s="192"/>
      <c r="B292" s="540" t="s">
        <v>363</v>
      </c>
      <c r="C292" s="541"/>
      <c r="D292" s="190"/>
      <c r="E292" s="136"/>
      <c r="F292" s="137"/>
      <c r="G292" s="191"/>
      <c r="H292" s="134">
        <f>SUM(H15,H20,H25,H30,H35,H40,H45,H50,H109,H77,H84,H91,H97,H103,H114,H127,H134,H140,H148,H158,H175,H193,H120,H186)</f>
        <v>1112864399</v>
      </c>
      <c r="I292" s="134">
        <f t="shared" ref="I292:U292" si="117">SUM(I15,I20,I25,I30,I35,I40,I45,I50,I109,I77,I84,I91,I97,I103,I114,I127,I134,I140,I148,I158,I175,I193,I120,I186)</f>
        <v>504916845</v>
      </c>
      <c r="J292" s="134">
        <f t="shared" si="117"/>
        <v>457244775</v>
      </c>
      <c r="K292" s="134">
        <f t="shared" si="117"/>
        <v>103599798</v>
      </c>
      <c r="L292" s="134">
        <f t="shared" si="117"/>
        <v>0</v>
      </c>
      <c r="M292" s="134">
        <f t="shared" si="117"/>
        <v>0</v>
      </c>
      <c r="N292" s="134">
        <f t="shared" si="117"/>
        <v>0</v>
      </c>
      <c r="O292" s="134">
        <f t="shared" si="117"/>
        <v>0</v>
      </c>
      <c r="P292" s="134">
        <f t="shared" si="117"/>
        <v>0</v>
      </c>
      <c r="Q292" s="134">
        <f t="shared" si="117"/>
        <v>0</v>
      </c>
      <c r="R292" s="134">
        <f t="shared" si="117"/>
        <v>0</v>
      </c>
      <c r="S292" s="134">
        <f t="shared" si="117"/>
        <v>0</v>
      </c>
      <c r="T292" s="134">
        <f t="shared" si="117"/>
        <v>0</v>
      </c>
      <c r="U292" s="134">
        <f t="shared" si="117"/>
        <v>0</v>
      </c>
      <c r="V292" s="134"/>
    </row>
    <row r="293" spans="1:23" s="135" customFormat="1" ht="15">
      <c r="A293" s="193"/>
      <c r="B293" s="540" t="s">
        <v>376</v>
      </c>
      <c r="C293" s="541"/>
      <c r="D293" s="190"/>
      <c r="E293" s="136"/>
      <c r="F293" s="137"/>
      <c r="G293" s="191"/>
      <c r="H293" s="134">
        <f>SUM(H78,H85,H92,H98,H104,H110,H115,H128,H135,H141,H159,H194,H57,H64,H225,H241,H250,H278,H121,)</f>
        <v>326831679</v>
      </c>
      <c r="I293" s="134">
        <f t="shared" ref="I293:U293" si="118">SUM(I78,I85,I92,I98,I104,I110,I115,I128,I135,I141,I159,I194,I57,I64,I225,I241,I250,I278,I121,)</f>
        <v>97874337</v>
      </c>
      <c r="J293" s="134">
        <f t="shared" si="118"/>
        <v>122202046</v>
      </c>
      <c r="K293" s="134">
        <f t="shared" si="118"/>
        <v>50368624</v>
      </c>
      <c r="L293" s="134">
        <f t="shared" si="118"/>
        <v>10000000</v>
      </c>
      <c r="M293" s="134">
        <f t="shared" si="118"/>
        <v>10000000</v>
      </c>
      <c r="N293" s="134">
        <f t="shared" si="118"/>
        <v>15000000</v>
      </c>
      <c r="O293" s="134">
        <f t="shared" si="118"/>
        <v>2826599</v>
      </c>
      <c r="P293" s="134">
        <f t="shared" si="118"/>
        <v>2826599</v>
      </c>
      <c r="Q293" s="134">
        <f t="shared" si="118"/>
        <v>0</v>
      </c>
      <c r="R293" s="134">
        <f t="shared" si="118"/>
        <v>0</v>
      </c>
      <c r="S293" s="134">
        <f t="shared" si="118"/>
        <v>0</v>
      </c>
      <c r="T293" s="134">
        <f t="shared" si="118"/>
        <v>0</v>
      </c>
      <c r="U293" s="134">
        <f t="shared" si="118"/>
        <v>0</v>
      </c>
      <c r="V293" s="134"/>
    </row>
    <row r="294" spans="1:23" s="135" customFormat="1" ht="15">
      <c r="A294" s="193"/>
      <c r="B294" s="540" t="s">
        <v>364</v>
      </c>
      <c r="C294" s="541"/>
      <c r="D294" s="190"/>
      <c r="E294" s="136"/>
      <c r="F294" s="137"/>
      <c r="G294" s="191"/>
      <c r="H294" s="134">
        <f>SUM(H16,H21,H26,H31,H36,H41,H46,H51,H216,H86,H93,H105,H129,H149,H58,H65,H221,H226,H154,H99,H142,H122,H187,H160)</f>
        <v>435316286</v>
      </c>
      <c r="I294" s="134">
        <f t="shared" ref="I294:U294" si="119">SUM(I16,I21,I26,I31,I36,I41,I46,I51,I216,I86,I93,I105,I129,I149,I58,I65,I221,I226,I154,I99,I142,I122,I187,I160)</f>
        <v>101446715</v>
      </c>
      <c r="J294" s="134">
        <f t="shared" si="119"/>
        <v>116725544</v>
      </c>
      <c r="K294" s="134">
        <f t="shared" si="119"/>
        <v>43347514</v>
      </c>
      <c r="L294" s="134">
        <f t="shared" si="119"/>
        <v>0</v>
      </c>
      <c r="M294" s="134">
        <f t="shared" si="119"/>
        <v>0</v>
      </c>
      <c r="N294" s="134">
        <f t="shared" si="119"/>
        <v>0</v>
      </c>
      <c r="O294" s="134">
        <f t="shared" si="119"/>
        <v>0</v>
      </c>
      <c r="P294" s="134">
        <f t="shared" si="119"/>
        <v>0</v>
      </c>
      <c r="Q294" s="134">
        <f t="shared" si="119"/>
        <v>0</v>
      </c>
      <c r="R294" s="134">
        <f t="shared" si="119"/>
        <v>0</v>
      </c>
      <c r="S294" s="134">
        <f t="shared" si="119"/>
        <v>0</v>
      </c>
      <c r="T294" s="134">
        <f t="shared" si="119"/>
        <v>0</v>
      </c>
      <c r="U294" s="134">
        <f t="shared" si="119"/>
        <v>0</v>
      </c>
      <c r="V294" s="134"/>
    </row>
    <row r="295" spans="1:23" s="135" customFormat="1" ht="13.5" customHeight="1">
      <c r="A295" s="192"/>
      <c r="B295" s="540" t="s">
        <v>403</v>
      </c>
      <c r="C295" s="541"/>
      <c r="D295" s="190"/>
      <c r="E295" s="136"/>
      <c r="F295" s="137"/>
      <c r="G295" s="191"/>
      <c r="H295" s="134">
        <f>SUM(H79,H87,H227,H242,H116,)</f>
        <v>47821486</v>
      </c>
      <c r="I295" s="134">
        <f t="shared" ref="I295:U295" si="120">SUM(I79,I87,I227,I242,I116,)</f>
        <v>5170725</v>
      </c>
      <c r="J295" s="134">
        <f t="shared" si="120"/>
        <v>7536876</v>
      </c>
      <c r="K295" s="134">
        <f t="shared" si="120"/>
        <v>9715155</v>
      </c>
      <c r="L295" s="134">
        <f t="shared" si="120"/>
        <v>3000000</v>
      </c>
      <c r="M295" s="134">
        <f t="shared" si="120"/>
        <v>3000000</v>
      </c>
      <c r="N295" s="134">
        <f t="shared" si="120"/>
        <v>0</v>
      </c>
      <c r="O295" s="134">
        <f t="shared" si="120"/>
        <v>0</v>
      </c>
      <c r="P295" s="134">
        <f t="shared" si="120"/>
        <v>0</v>
      </c>
      <c r="Q295" s="134">
        <f t="shared" si="120"/>
        <v>0</v>
      </c>
      <c r="R295" s="134">
        <f t="shared" si="120"/>
        <v>0</v>
      </c>
      <c r="S295" s="134">
        <f t="shared" si="120"/>
        <v>0</v>
      </c>
      <c r="T295" s="134">
        <f t="shared" si="120"/>
        <v>0</v>
      </c>
      <c r="U295" s="134">
        <f t="shared" si="120"/>
        <v>0</v>
      </c>
      <c r="V295" s="134"/>
    </row>
    <row r="296" spans="1:23"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</row>
    <row r="297" spans="1:23" ht="15">
      <c r="C297" s="138"/>
      <c r="G297" s="194"/>
      <c r="H297" s="139"/>
      <c r="I297" s="139"/>
      <c r="J297" s="139"/>
      <c r="K297" s="139"/>
      <c r="L297" s="139"/>
      <c r="M297" s="139"/>
      <c r="N297" s="139"/>
      <c r="O297" s="139"/>
      <c r="P297" s="139"/>
      <c r="Q297" s="139"/>
      <c r="R297" s="139"/>
      <c r="S297" s="139"/>
      <c r="T297" s="139"/>
      <c r="U297" s="139"/>
      <c r="V297" s="139"/>
      <c r="W297" s="139"/>
    </row>
    <row r="298" spans="1:23" s="197" customFormat="1" ht="15">
      <c r="A298" s="557" t="s">
        <v>414</v>
      </c>
      <c r="B298" s="558"/>
      <c r="C298" s="558"/>
      <c r="D298" s="558"/>
      <c r="E298" s="558"/>
      <c r="F298" s="558"/>
      <c r="G298" s="559"/>
      <c r="H298" s="100">
        <f>SUM(H299:H300)</f>
        <v>1922833850</v>
      </c>
      <c r="I298" s="100">
        <f>SUM(I299:I300)-I303</f>
        <v>843652375</v>
      </c>
      <c r="J298" s="195">
        <f t="shared" ref="J298:V298" si="121">SUM(J299:J300)-J303</f>
        <v>697119101</v>
      </c>
      <c r="K298" s="195">
        <f t="shared" si="121"/>
        <v>204421826</v>
      </c>
      <c r="L298" s="195">
        <f t="shared" si="121"/>
        <v>13000000</v>
      </c>
      <c r="M298" s="195">
        <f t="shared" si="121"/>
        <v>13000000</v>
      </c>
      <c r="N298" s="195">
        <f t="shared" si="121"/>
        <v>15000000</v>
      </c>
      <c r="O298" s="195">
        <f t="shared" si="121"/>
        <v>2826599</v>
      </c>
      <c r="P298" s="195">
        <f t="shared" si="121"/>
        <v>2826599</v>
      </c>
      <c r="Q298" s="195">
        <f t="shared" si="121"/>
        <v>0</v>
      </c>
      <c r="R298" s="195">
        <f t="shared" si="121"/>
        <v>0</v>
      </c>
      <c r="S298" s="195">
        <f t="shared" si="121"/>
        <v>0</v>
      </c>
      <c r="T298" s="195">
        <f t="shared" si="121"/>
        <v>0</v>
      </c>
      <c r="U298" s="195">
        <f t="shared" si="121"/>
        <v>0</v>
      </c>
      <c r="V298" s="195">
        <f t="shared" si="121"/>
        <v>0</v>
      </c>
      <c r="W298" s="196"/>
    </row>
    <row r="299" spans="1:23" s="8" customFormat="1" ht="15">
      <c r="A299" s="549" t="s">
        <v>354</v>
      </c>
      <c r="B299" s="550"/>
      <c r="C299" s="550"/>
      <c r="D299" s="550"/>
      <c r="E299" s="550"/>
      <c r="F299" s="550"/>
      <c r="G299" s="560"/>
      <c r="H299" s="100"/>
      <c r="I299" s="100">
        <f>I316</f>
        <v>147830061</v>
      </c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98"/>
    </row>
    <row r="300" spans="1:23" ht="15">
      <c r="A300" s="131" t="s">
        <v>415</v>
      </c>
      <c r="B300" s="199"/>
      <c r="C300" s="200"/>
      <c r="D300" s="200"/>
      <c r="E300" s="200"/>
      <c r="F300" s="200"/>
      <c r="G300" s="201"/>
      <c r="H300" s="113">
        <f t="shared" ref="H300:V300" si="122">SUM(H14,H19,H24,H29,H34,H39,H44,H49,H76,H83,H90,H96,H102,H108,H113,H119,H126,H133,H139,H147,H157,H174,H185,H192,H56,H63,H215,H220,H224,H240,H249,H153,H277)</f>
        <v>1922833850</v>
      </c>
      <c r="I300" s="100">
        <f t="shared" si="122"/>
        <v>709408622</v>
      </c>
      <c r="J300" s="113">
        <f t="shared" si="122"/>
        <v>703709241</v>
      </c>
      <c r="K300" s="113">
        <f t="shared" si="122"/>
        <v>207031091</v>
      </c>
      <c r="L300" s="113">
        <f t="shared" si="122"/>
        <v>13000000</v>
      </c>
      <c r="M300" s="113">
        <f t="shared" si="122"/>
        <v>13000000</v>
      </c>
      <c r="N300" s="113">
        <f t="shared" si="122"/>
        <v>15000000</v>
      </c>
      <c r="O300" s="113">
        <f t="shared" si="122"/>
        <v>2826599</v>
      </c>
      <c r="P300" s="113">
        <f t="shared" si="122"/>
        <v>2826599</v>
      </c>
      <c r="Q300" s="113">
        <f t="shared" si="122"/>
        <v>0</v>
      </c>
      <c r="R300" s="113">
        <f t="shared" si="122"/>
        <v>0</v>
      </c>
      <c r="S300" s="113">
        <f t="shared" si="122"/>
        <v>0</v>
      </c>
      <c r="T300" s="113">
        <f t="shared" si="122"/>
        <v>0</v>
      </c>
      <c r="U300" s="113">
        <f t="shared" si="122"/>
        <v>0</v>
      </c>
      <c r="V300" s="113">
        <f t="shared" si="122"/>
        <v>0</v>
      </c>
      <c r="W300" s="139"/>
    </row>
    <row r="301" spans="1:23" s="197" customFormat="1" ht="15">
      <c r="A301" s="561" t="s">
        <v>416</v>
      </c>
      <c r="B301" s="562"/>
      <c r="C301" s="562"/>
      <c r="D301" s="562"/>
      <c r="E301" s="562"/>
      <c r="F301" s="562"/>
      <c r="G301" s="563"/>
      <c r="H301" s="100">
        <f t="shared" ref="H301:V301" si="123">SUM(H319:H319)</f>
        <v>0</v>
      </c>
      <c r="I301" s="100">
        <f t="shared" si="123"/>
        <v>0</v>
      </c>
      <c r="J301" s="195">
        <f t="shared" si="123"/>
        <v>0</v>
      </c>
      <c r="K301" s="195">
        <f t="shared" si="123"/>
        <v>0</v>
      </c>
      <c r="L301" s="195">
        <f t="shared" si="123"/>
        <v>0</v>
      </c>
      <c r="M301" s="195">
        <f t="shared" si="123"/>
        <v>0</v>
      </c>
      <c r="N301" s="195">
        <f t="shared" si="123"/>
        <v>0</v>
      </c>
      <c r="O301" s="195">
        <f t="shared" si="123"/>
        <v>0</v>
      </c>
      <c r="P301" s="195">
        <f t="shared" si="123"/>
        <v>0</v>
      </c>
      <c r="Q301" s="195">
        <f t="shared" si="123"/>
        <v>0</v>
      </c>
      <c r="R301" s="195">
        <f t="shared" si="123"/>
        <v>0</v>
      </c>
      <c r="S301" s="195">
        <f t="shared" si="123"/>
        <v>0</v>
      </c>
      <c r="T301" s="195">
        <f t="shared" si="123"/>
        <v>0</v>
      </c>
      <c r="U301" s="195">
        <f t="shared" si="123"/>
        <v>0</v>
      </c>
      <c r="V301" s="195">
        <f t="shared" si="123"/>
        <v>0</v>
      </c>
    </row>
    <row r="302" spans="1:23" s="8" customFormat="1" ht="15">
      <c r="A302" s="202"/>
      <c r="B302" s="203"/>
      <c r="C302" s="203"/>
      <c r="D302" s="203"/>
      <c r="E302" s="203"/>
      <c r="F302" s="203"/>
      <c r="G302" s="204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</row>
    <row r="303" spans="1:23" s="95" customFormat="1" ht="15">
      <c r="A303" s="564" t="s">
        <v>417</v>
      </c>
      <c r="B303" s="565"/>
      <c r="C303" s="205"/>
      <c r="D303" s="205"/>
      <c r="E303" s="205"/>
      <c r="F303" s="205"/>
      <c r="G303" s="206"/>
      <c r="H303" s="100"/>
      <c r="I303" s="100">
        <f>I304+I305+I306+I307</f>
        <v>13586308</v>
      </c>
      <c r="J303" s="207">
        <f t="shared" ref="J303:V303" si="124">J304+J305+J306+J307</f>
        <v>6590140</v>
      </c>
      <c r="K303" s="207">
        <f t="shared" si="124"/>
        <v>2609265</v>
      </c>
      <c r="L303" s="207">
        <f t="shared" si="124"/>
        <v>0</v>
      </c>
      <c r="M303" s="207">
        <f t="shared" si="124"/>
        <v>0</v>
      </c>
      <c r="N303" s="207">
        <f t="shared" si="124"/>
        <v>0</v>
      </c>
      <c r="O303" s="207">
        <f t="shared" si="124"/>
        <v>0</v>
      </c>
      <c r="P303" s="207">
        <f t="shared" si="124"/>
        <v>0</v>
      </c>
      <c r="Q303" s="207">
        <f t="shared" si="124"/>
        <v>0</v>
      </c>
      <c r="R303" s="207">
        <f t="shared" si="124"/>
        <v>0</v>
      </c>
      <c r="S303" s="207">
        <f t="shared" si="124"/>
        <v>0</v>
      </c>
      <c r="T303" s="207">
        <f t="shared" si="124"/>
        <v>0</v>
      </c>
      <c r="U303" s="207">
        <f t="shared" si="124"/>
        <v>0</v>
      </c>
      <c r="V303" s="207">
        <f t="shared" si="124"/>
        <v>0</v>
      </c>
      <c r="W303" s="208"/>
    </row>
    <row r="304" spans="1:23" ht="15">
      <c r="A304" s="199" t="s">
        <v>418</v>
      </c>
      <c r="B304" s="200"/>
      <c r="C304" s="200"/>
      <c r="D304" s="200"/>
      <c r="E304" s="200"/>
      <c r="F304" s="200"/>
      <c r="G304" s="201"/>
      <c r="H304" s="113"/>
      <c r="I304" s="113">
        <v>1309695</v>
      </c>
      <c r="J304" s="113">
        <v>987097</v>
      </c>
      <c r="K304" s="113">
        <v>1956092</v>
      </c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39"/>
    </row>
    <row r="305" spans="1:23" ht="15">
      <c r="A305" s="549" t="s">
        <v>419</v>
      </c>
      <c r="B305" s="550"/>
      <c r="C305" s="200"/>
      <c r="D305" s="200"/>
      <c r="E305" s="200"/>
      <c r="F305" s="200"/>
      <c r="G305" s="201"/>
      <c r="H305" s="113"/>
      <c r="I305" s="113">
        <v>8696613</v>
      </c>
      <c r="J305" s="113">
        <v>3000000</v>
      </c>
      <c r="K305" s="113">
        <v>503311</v>
      </c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39"/>
    </row>
    <row r="306" spans="1:23" ht="15">
      <c r="A306" s="199" t="s">
        <v>420</v>
      </c>
      <c r="B306" s="200"/>
      <c r="C306" s="200"/>
      <c r="D306" s="200"/>
      <c r="E306" s="200"/>
      <c r="F306" s="200"/>
      <c r="G306" s="201"/>
      <c r="H306" s="113"/>
      <c r="I306" s="113">
        <v>380000</v>
      </c>
      <c r="J306" s="113">
        <v>443552</v>
      </c>
      <c r="K306" s="113">
        <v>149862</v>
      </c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39"/>
    </row>
    <row r="307" spans="1:23" ht="15">
      <c r="A307" s="199" t="s">
        <v>421</v>
      </c>
      <c r="B307" s="200"/>
      <c r="C307" s="200"/>
      <c r="D307" s="200"/>
      <c r="E307" s="200"/>
      <c r="F307" s="200"/>
      <c r="G307" s="201"/>
      <c r="H307" s="113"/>
      <c r="I307" s="113">
        <v>3200000</v>
      </c>
      <c r="J307" s="113">
        <v>2159491</v>
      </c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39"/>
    </row>
    <row r="308" spans="1:23" s="213" customFormat="1" ht="15" hidden="1">
      <c r="A308" s="547" t="s">
        <v>422</v>
      </c>
      <c r="B308" s="548"/>
      <c r="C308" s="209"/>
      <c r="D308" s="209"/>
      <c r="E308" s="209"/>
      <c r="F308" s="209"/>
      <c r="G308" s="210"/>
      <c r="H308" s="211"/>
      <c r="I308" s="211">
        <f>I309+I310</f>
        <v>45843396</v>
      </c>
      <c r="J308" s="211">
        <f t="shared" ref="J308:V308" si="125">J309+J310</f>
        <v>32758466</v>
      </c>
      <c r="K308" s="211">
        <f t="shared" si="125"/>
        <v>9889003</v>
      </c>
      <c r="L308" s="211">
        <f t="shared" si="125"/>
        <v>0</v>
      </c>
      <c r="M308" s="211">
        <f t="shared" si="125"/>
        <v>0</v>
      </c>
      <c r="N308" s="211">
        <f t="shared" si="125"/>
        <v>0</v>
      </c>
      <c r="O308" s="211">
        <f t="shared" si="125"/>
        <v>0</v>
      </c>
      <c r="P308" s="211">
        <f t="shared" si="125"/>
        <v>0</v>
      </c>
      <c r="Q308" s="211">
        <f t="shared" si="125"/>
        <v>0</v>
      </c>
      <c r="R308" s="211">
        <f t="shared" si="125"/>
        <v>0</v>
      </c>
      <c r="S308" s="211">
        <f t="shared" si="125"/>
        <v>0</v>
      </c>
      <c r="T308" s="211">
        <f t="shared" si="125"/>
        <v>0</v>
      </c>
      <c r="U308" s="211">
        <f t="shared" si="125"/>
        <v>0</v>
      </c>
      <c r="V308" s="211">
        <f t="shared" si="125"/>
        <v>0</v>
      </c>
      <c r="W308" s="212"/>
    </row>
    <row r="309" spans="1:23" ht="15" hidden="1">
      <c r="A309" s="549" t="s">
        <v>423</v>
      </c>
      <c r="B309" s="550"/>
      <c r="C309" s="200"/>
      <c r="D309" s="200"/>
      <c r="E309" s="200"/>
      <c r="F309" s="200"/>
      <c r="G309" s="201"/>
      <c r="H309" s="113"/>
      <c r="I309" s="113">
        <v>403248</v>
      </c>
      <c r="J309" s="113">
        <v>480500</v>
      </c>
      <c r="K309" s="113">
        <v>48050</v>
      </c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39"/>
    </row>
    <row r="310" spans="1:23" ht="15" hidden="1">
      <c r="A310" s="199" t="s">
        <v>420</v>
      </c>
      <c r="B310" s="200"/>
      <c r="C310" s="200"/>
      <c r="D310" s="200"/>
      <c r="E310" s="200"/>
      <c r="F310" s="200"/>
      <c r="G310" s="201"/>
      <c r="H310" s="113"/>
      <c r="I310" s="113">
        <v>45440148</v>
      </c>
      <c r="J310" s="113">
        <v>32277966</v>
      </c>
      <c r="K310" s="113">
        <v>9840953</v>
      </c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39"/>
    </row>
    <row r="311" spans="1:23" s="220" customFormat="1" ht="15">
      <c r="A311" s="214" t="s">
        <v>424</v>
      </c>
      <c r="B311" s="215"/>
      <c r="C311" s="215"/>
      <c r="D311" s="215"/>
      <c r="E311" s="215"/>
      <c r="F311" s="215"/>
      <c r="G311" s="216"/>
      <c r="H311" s="217">
        <v>358479839</v>
      </c>
      <c r="I311" s="217">
        <v>151646587</v>
      </c>
      <c r="J311" s="218"/>
      <c r="K311" s="218"/>
      <c r="L311" s="218"/>
      <c r="M311" s="218"/>
      <c r="N311" s="218"/>
      <c r="O311" s="218"/>
      <c r="P311" s="218"/>
      <c r="Q311" s="218"/>
      <c r="R311" s="218"/>
      <c r="S311" s="218"/>
      <c r="T311" s="218"/>
      <c r="U311" s="218"/>
      <c r="V311" s="218"/>
      <c r="W311" s="219"/>
    </row>
    <row r="312" spans="1:23" s="225" customFormat="1" ht="15">
      <c r="A312" s="551" t="s">
        <v>417</v>
      </c>
      <c r="B312" s="552"/>
      <c r="C312" s="221"/>
      <c r="D312" s="221"/>
      <c r="E312" s="221"/>
      <c r="F312" s="221"/>
      <c r="G312" s="222"/>
      <c r="H312" s="223"/>
      <c r="I312" s="223">
        <f>I313+I314+I315</f>
        <v>1943526</v>
      </c>
      <c r="J312" s="223"/>
      <c r="K312" s="223"/>
      <c r="L312" s="223"/>
      <c r="M312" s="223"/>
      <c r="N312" s="223"/>
      <c r="O312" s="223"/>
      <c r="P312" s="223"/>
      <c r="Q312" s="223"/>
      <c r="R312" s="223"/>
      <c r="S312" s="223"/>
      <c r="T312" s="223"/>
      <c r="U312" s="223"/>
      <c r="V312" s="223"/>
      <c r="W312" s="224"/>
    </row>
    <row r="313" spans="1:23" ht="15">
      <c r="A313" s="199" t="s">
        <v>425</v>
      </c>
      <c r="B313" s="200"/>
      <c r="C313" s="200"/>
      <c r="D313" s="200"/>
      <c r="E313" s="200"/>
      <c r="F313" s="200"/>
      <c r="G313" s="201"/>
      <c r="H313" s="113"/>
      <c r="I313" s="113">
        <v>210150</v>
      </c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39"/>
    </row>
    <row r="314" spans="1:23" ht="15">
      <c r="A314" s="199" t="s">
        <v>426</v>
      </c>
      <c r="B314" s="200"/>
      <c r="C314" s="200"/>
      <c r="D314" s="200"/>
      <c r="E314" s="200"/>
      <c r="F314" s="200"/>
      <c r="G314" s="201"/>
      <c r="H314" s="113"/>
      <c r="I314" s="113">
        <v>971922</v>
      </c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39"/>
    </row>
    <row r="315" spans="1:23" ht="15">
      <c r="A315" s="199" t="s">
        <v>427</v>
      </c>
      <c r="B315" s="200"/>
      <c r="C315" s="200"/>
      <c r="D315" s="200"/>
      <c r="E315" s="200"/>
      <c r="F315" s="200"/>
      <c r="G315" s="201"/>
      <c r="H315" s="113"/>
      <c r="I315" s="113">
        <v>761454</v>
      </c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39"/>
    </row>
    <row r="316" spans="1:23" s="225" customFormat="1" ht="15">
      <c r="A316" s="226" t="s">
        <v>428</v>
      </c>
      <c r="B316" s="221"/>
      <c r="C316" s="221"/>
      <c r="D316" s="221"/>
      <c r="E316" s="221"/>
      <c r="F316" s="221"/>
      <c r="G316" s="222"/>
      <c r="H316" s="223"/>
      <c r="I316" s="223">
        <f>I311-I312-I317</f>
        <v>147830061</v>
      </c>
      <c r="J316" s="223"/>
      <c r="K316" s="223"/>
      <c r="L316" s="223"/>
      <c r="M316" s="223"/>
      <c r="N316" s="223"/>
      <c r="O316" s="223"/>
      <c r="P316" s="223"/>
      <c r="Q316" s="223"/>
      <c r="R316" s="223"/>
      <c r="S316" s="223"/>
      <c r="T316" s="223"/>
      <c r="U316" s="223"/>
      <c r="V316" s="223"/>
      <c r="W316" s="224"/>
    </row>
    <row r="317" spans="1:23" ht="15">
      <c r="A317" s="199" t="s">
        <v>429</v>
      </c>
      <c r="B317" s="200"/>
      <c r="C317" s="200"/>
      <c r="D317" s="200"/>
      <c r="E317" s="200"/>
      <c r="F317" s="200"/>
      <c r="G317" s="201"/>
      <c r="H317" s="113">
        <v>14302800</v>
      </c>
      <c r="I317" s="113">
        <v>1873000</v>
      </c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39"/>
    </row>
    <row r="319" spans="1:23" ht="15">
      <c r="A319" s="553"/>
      <c r="B319" s="554"/>
      <c r="C319" s="554"/>
      <c r="D319" s="554"/>
      <c r="E319" s="554"/>
      <c r="F319" s="554"/>
      <c r="G319" s="555"/>
      <c r="H319" s="122"/>
      <c r="I319" s="122"/>
      <c r="J319" s="122"/>
      <c r="K319" s="122"/>
      <c r="L319" s="122">
        <f t="shared" ref="L319:U319" si="126">L176</f>
        <v>0</v>
      </c>
      <c r="M319" s="122">
        <f t="shared" si="126"/>
        <v>0</v>
      </c>
      <c r="N319" s="122">
        <f t="shared" si="126"/>
        <v>0</v>
      </c>
      <c r="O319" s="122">
        <f t="shared" si="126"/>
        <v>0</v>
      </c>
      <c r="P319" s="122">
        <f t="shared" si="126"/>
        <v>0</v>
      </c>
      <c r="Q319" s="122">
        <f t="shared" si="126"/>
        <v>0</v>
      </c>
      <c r="R319" s="122">
        <f t="shared" si="126"/>
        <v>0</v>
      </c>
      <c r="S319" s="122">
        <f t="shared" si="126"/>
        <v>0</v>
      </c>
      <c r="T319" s="122">
        <f t="shared" si="126"/>
        <v>0</v>
      </c>
      <c r="U319" s="122">
        <f t="shared" si="126"/>
        <v>0</v>
      </c>
      <c r="V319" s="122"/>
    </row>
    <row r="320" spans="1:23" s="55" customFormat="1">
      <c r="A320" s="556" t="s">
        <v>430</v>
      </c>
      <c r="B320" s="556"/>
      <c r="C320" s="227"/>
      <c r="H320" s="228">
        <f>H321+H322+H323</f>
        <v>1914906789</v>
      </c>
      <c r="I320" s="228">
        <f t="shared" ref="I320:U320" si="127">I321+I322+I323</f>
        <v>722463048</v>
      </c>
      <c r="J320" s="228">
        <f t="shared" si="127"/>
        <v>735079425</v>
      </c>
      <c r="K320" s="228">
        <f t="shared" si="127"/>
        <v>218351022</v>
      </c>
      <c r="L320" s="228">
        <f t="shared" si="127"/>
        <v>2709303</v>
      </c>
      <c r="M320" s="228">
        <f t="shared" si="127"/>
        <v>2020519</v>
      </c>
      <c r="N320" s="228">
        <f t="shared" si="127"/>
        <v>1765431</v>
      </c>
      <c r="O320" s="228">
        <f t="shared" si="127"/>
        <v>4172922</v>
      </c>
      <c r="P320" s="228">
        <f t="shared" si="127"/>
        <v>3945106</v>
      </c>
      <c r="Q320" s="228">
        <f t="shared" si="127"/>
        <v>0</v>
      </c>
      <c r="R320" s="228">
        <f t="shared" si="127"/>
        <v>0</v>
      </c>
      <c r="S320" s="228">
        <f t="shared" si="127"/>
        <v>0</v>
      </c>
      <c r="T320" s="228">
        <f t="shared" si="127"/>
        <v>0</v>
      </c>
      <c r="U320" s="228">
        <f t="shared" si="127"/>
        <v>0</v>
      </c>
      <c r="V320" s="228">
        <f>V321+V322+V323</f>
        <v>0</v>
      </c>
    </row>
    <row r="321" spans="1:22" s="55" customFormat="1">
      <c r="A321" s="229" t="s">
        <v>431</v>
      </c>
      <c r="B321" s="229"/>
      <c r="C321" s="230"/>
      <c r="D321" s="230"/>
      <c r="E321" s="230"/>
      <c r="F321" s="230"/>
      <c r="G321" s="230"/>
      <c r="H321" s="231">
        <f t="shared" ref="H321:V321" si="128">SUM(,H68,H74,H145,H173,H190,H163,H168,H183,H178,H70,H146,H55,H62,H152,H184,H179,H198,)</f>
        <v>305738433</v>
      </c>
      <c r="I321" s="231">
        <f t="shared" si="128"/>
        <v>77589825</v>
      </c>
      <c r="J321" s="232">
        <f t="shared" si="128"/>
        <v>72683387</v>
      </c>
      <c r="K321" s="232">
        <f t="shared" si="128"/>
        <v>24805639</v>
      </c>
      <c r="L321" s="232">
        <f t="shared" si="128"/>
        <v>0</v>
      </c>
      <c r="M321" s="232">
        <f t="shared" si="128"/>
        <v>0</v>
      </c>
      <c r="N321" s="232">
        <f t="shared" si="128"/>
        <v>0</v>
      </c>
      <c r="O321" s="232">
        <f t="shared" si="128"/>
        <v>0</v>
      </c>
      <c r="P321" s="232">
        <f t="shared" si="128"/>
        <v>0</v>
      </c>
      <c r="Q321" s="232">
        <f t="shared" si="128"/>
        <v>0</v>
      </c>
      <c r="R321" s="232">
        <f t="shared" si="128"/>
        <v>0</v>
      </c>
      <c r="S321" s="232">
        <f t="shared" si="128"/>
        <v>0</v>
      </c>
      <c r="T321" s="232">
        <f t="shared" si="128"/>
        <v>0</v>
      </c>
      <c r="U321" s="232">
        <f t="shared" si="128"/>
        <v>0</v>
      </c>
      <c r="V321" s="232">
        <f t="shared" si="128"/>
        <v>0</v>
      </c>
    </row>
    <row r="322" spans="1:22" s="55" customFormat="1">
      <c r="A322" s="229" t="s">
        <v>432</v>
      </c>
      <c r="B322" s="229"/>
      <c r="C322" s="229"/>
      <c r="D322" s="229"/>
      <c r="E322" s="229"/>
      <c r="F322" s="229"/>
      <c r="G322" s="229"/>
      <c r="H322" s="231">
        <f t="shared" ref="H322:U322" si="129">SUM(H15,H20,H25,H30,H35,H40,H45,H50,H109,H77,H84,H91,H97,H103,H114,H127,H134,H140,H148,H158,H175,H193,H120,H186,H16,H21,H26,H31,H36,H41,H46,H51,H86,H93,H105,H129,H149,H58,H65,H154,H99,H142,H122,H187,H79,H87,H116,H160)</f>
        <v>1304355587</v>
      </c>
      <c r="I322" s="231">
        <f t="shared" si="129"/>
        <v>547787890</v>
      </c>
      <c r="J322" s="232">
        <f t="shared" si="129"/>
        <v>539935479</v>
      </c>
      <c r="K322" s="232">
        <f t="shared" si="129"/>
        <v>140117479</v>
      </c>
      <c r="L322" s="232">
        <f t="shared" si="129"/>
        <v>0</v>
      </c>
      <c r="M322" s="232">
        <f t="shared" si="129"/>
        <v>0</v>
      </c>
      <c r="N322" s="232">
        <f t="shared" si="129"/>
        <v>0</v>
      </c>
      <c r="O322" s="232">
        <f t="shared" si="129"/>
        <v>0</v>
      </c>
      <c r="P322" s="232">
        <f t="shared" si="129"/>
        <v>0</v>
      </c>
      <c r="Q322" s="232">
        <f t="shared" si="129"/>
        <v>0</v>
      </c>
      <c r="R322" s="232">
        <f t="shared" si="129"/>
        <v>0</v>
      </c>
      <c r="S322" s="232">
        <f t="shared" si="129"/>
        <v>0</v>
      </c>
      <c r="T322" s="232">
        <f t="shared" si="129"/>
        <v>0</v>
      </c>
      <c r="U322" s="232">
        <f t="shared" si="129"/>
        <v>0</v>
      </c>
      <c r="V322" s="232">
        <f>SUM(V15,V20,V25,V30,V35,V40,V45,V50,V109,V77,V84,V91,V97,V103,V114,V127,V134,V140,V148,V158,V175,V193,V120,V186,V16,V21,V26,V31,V36,V41,V46,V51,V86,V93,V105,V129,V149,V58,V65,V154,V99,V142,V122,V187,V79,V87,V116)</f>
        <v>0</v>
      </c>
    </row>
    <row r="323" spans="1:22">
      <c r="A323" s="233" t="s">
        <v>433</v>
      </c>
      <c r="B323" s="233"/>
      <c r="C323" s="233"/>
      <c r="D323" s="233"/>
      <c r="E323" s="233"/>
      <c r="F323" s="233"/>
      <c r="G323" s="233"/>
      <c r="H323" s="234">
        <f t="shared" ref="H323:V323" si="130">SUM(,H69,H125,H75,H82,H132,H138,H191,H61,H54,H164,H169,H197,H78,H85,H92,H98,H104,H110,H115,H128,H135,H141,H159,H194,H57,H64,H121,)</f>
        <v>304812769</v>
      </c>
      <c r="I323" s="234">
        <f t="shared" si="130"/>
        <v>97085333</v>
      </c>
      <c r="J323" s="234">
        <f t="shared" si="130"/>
        <v>122460559</v>
      </c>
      <c r="K323" s="234">
        <f t="shared" si="130"/>
        <v>53427904</v>
      </c>
      <c r="L323" s="234">
        <f t="shared" si="130"/>
        <v>2709303</v>
      </c>
      <c r="M323" s="234">
        <f t="shared" si="130"/>
        <v>2020519</v>
      </c>
      <c r="N323" s="234">
        <f t="shared" si="130"/>
        <v>1765431</v>
      </c>
      <c r="O323" s="234">
        <f t="shared" si="130"/>
        <v>4172922</v>
      </c>
      <c r="P323" s="234">
        <f t="shared" si="130"/>
        <v>3945106</v>
      </c>
      <c r="Q323" s="234">
        <f t="shared" si="130"/>
        <v>0</v>
      </c>
      <c r="R323" s="234">
        <f t="shared" si="130"/>
        <v>0</v>
      </c>
      <c r="S323" s="234">
        <f t="shared" si="130"/>
        <v>0</v>
      </c>
      <c r="T323" s="234">
        <f t="shared" si="130"/>
        <v>0</v>
      </c>
      <c r="U323" s="234">
        <f t="shared" si="130"/>
        <v>0</v>
      </c>
      <c r="V323" s="234">
        <f t="shared" si="130"/>
        <v>0</v>
      </c>
    </row>
    <row r="324" spans="1:22">
      <c r="A324" s="37"/>
      <c r="B324" s="37"/>
      <c r="C324" s="37"/>
      <c r="D324" s="37"/>
      <c r="E324" s="37"/>
      <c r="F324" s="37"/>
      <c r="G324" s="37"/>
      <c r="H324" s="143"/>
      <c r="I324" s="143"/>
      <c r="J324" s="143"/>
      <c r="K324" s="143"/>
      <c r="L324" s="143"/>
      <c r="M324" s="143"/>
      <c r="N324" s="143"/>
      <c r="O324" s="143"/>
      <c r="P324" s="143"/>
      <c r="Q324" s="143"/>
      <c r="R324" s="143"/>
      <c r="S324" s="143"/>
      <c r="T324" s="143"/>
      <c r="U324" s="143"/>
      <c r="V324" s="143"/>
    </row>
    <row r="325" spans="1:22">
      <c r="A325" s="37"/>
      <c r="B325" s="37"/>
      <c r="C325" s="37"/>
      <c r="D325" s="37"/>
      <c r="E325" s="37"/>
      <c r="F325" s="37"/>
      <c r="G325" s="37"/>
      <c r="H325" s="143"/>
      <c r="I325" s="143"/>
      <c r="J325" s="143"/>
      <c r="K325" s="143"/>
      <c r="L325" s="143"/>
      <c r="M325" s="143"/>
      <c r="N325" s="143"/>
      <c r="O325" s="143"/>
      <c r="P325" s="143"/>
      <c r="Q325" s="143"/>
      <c r="R325" s="143"/>
      <c r="S325" s="143"/>
      <c r="T325" s="143"/>
      <c r="U325" s="143"/>
      <c r="V325" s="143"/>
    </row>
    <row r="326" spans="1:22" s="135" customFormat="1" ht="15">
      <c r="A326" s="140" t="s">
        <v>434</v>
      </c>
      <c r="B326" s="141"/>
      <c r="C326" s="141"/>
      <c r="D326" s="190"/>
      <c r="E326" s="136"/>
      <c r="F326" s="137"/>
      <c r="G326" s="191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</row>
    <row r="327" spans="1:22" s="135" customFormat="1" ht="15" customHeight="1">
      <c r="A327" s="535" t="s">
        <v>355</v>
      </c>
      <c r="B327" s="536"/>
      <c r="C327" s="537"/>
      <c r="D327" s="190"/>
      <c r="E327" s="538"/>
      <c r="F327" s="539"/>
      <c r="G327" s="191"/>
      <c r="H327" s="134">
        <v>2491232864</v>
      </c>
      <c r="I327" s="134">
        <v>838275385</v>
      </c>
      <c r="J327" s="134">
        <v>823559809</v>
      </c>
      <c r="K327" s="134">
        <v>252501660</v>
      </c>
      <c r="L327" s="134">
        <v>22696473</v>
      </c>
      <c r="M327" s="134">
        <v>18279708</v>
      </c>
      <c r="N327" s="134">
        <v>18640922</v>
      </c>
      <c r="O327" s="134">
        <v>6048413</v>
      </c>
      <c r="P327" s="134">
        <v>5820597</v>
      </c>
      <c r="Q327" s="134">
        <v>200000</v>
      </c>
      <c r="R327" s="134">
        <v>200000</v>
      </c>
      <c r="S327" s="134">
        <v>200000</v>
      </c>
      <c r="T327" s="134">
        <v>200000</v>
      </c>
      <c r="U327" s="134">
        <v>200000</v>
      </c>
      <c r="V327" s="134">
        <v>905955581</v>
      </c>
    </row>
    <row r="328" spans="1:22" s="135" customFormat="1" ht="15">
      <c r="A328" s="192"/>
      <c r="B328" s="540" t="s">
        <v>363</v>
      </c>
      <c r="C328" s="541"/>
      <c r="D328" s="190"/>
      <c r="E328" s="136"/>
      <c r="F328" s="137"/>
      <c r="G328" s="191"/>
      <c r="H328" s="134">
        <v>1187908185</v>
      </c>
      <c r="I328" s="134">
        <v>534432348</v>
      </c>
      <c r="J328" s="134">
        <v>494884419</v>
      </c>
      <c r="K328" s="134">
        <v>93078054</v>
      </c>
      <c r="L328" s="134">
        <v>0</v>
      </c>
      <c r="M328" s="134">
        <v>0</v>
      </c>
      <c r="N328" s="134">
        <v>0</v>
      </c>
      <c r="O328" s="134">
        <v>0</v>
      </c>
      <c r="P328" s="134">
        <v>0</v>
      </c>
      <c r="Q328" s="134">
        <v>0</v>
      </c>
      <c r="R328" s="134">
        <v>0</v>
      </c>
      <c r="S328" s="134">
        <v>0</v>
      </c>
      <c r="T328" s="134">
        <v>0</v>
      </c>
      <c r="U328" s="134">
        <v>0</v>
      </c>
      <c r="V328" s="134"/>
    </row>
    <row r="329" spans="1:22" s="135" customFormat="1" ht="15">
      <c r="A329" s="193"/>
      <c r="B329" s="540" t="s">
        <v>376</v>
      </c>
      <c r="C329" s="541"/>
      <c r="D329" s="190"/>
      <c r="E329" s="136"/>
      <c r="F329" s="137"/>
      <c r="G329" s="191"/>
      <c r="H329" s="134">
        <v>482431367</v>
      </c>
      <c r="I329" s="134">
        <v>128462272</v>
      </c>
      <c r="J329" s="134">
        <v>143076694</v>
      </c>
      <c r="K329" s="134">
        <v>79920208</v>
      </c>
      <c r="L329" s="134">
        <v>15863973</v>
      </c>
      <c r="M329" s="134">
        <v>15279708</v>
      </c>
      <c r="N329" s="134">
        <v>18640922</v>
      </c>
      <c r="O329" s="134">
        <v>6048413</v>
      </c>
      <c r="P329" s="134">
        <v>5820597</v>
      </c>
      <c r="Q329" s="134">
        <v>200000</v>
      </c>
      <c r="R329" s="134">
        <v>200000</v>
      </c>
      <c r="S329" s="134">
        <v>200000</v>
      </c>
      <c r="T329" s="134">
        <v>200000</v>
      </c>
      <c r="U329" s="134">
        <v>200000</v>
      </c>
      <c r="V329" s="134"/>
    </row>
    <row r="330" spans="1:22" s="135" customFormat="1" ht="15">
      <c r="A330" s="193"/>
      <c r="B330" s="540" t="s">
        <v>364</v>
      </c>
      <c r="C330" s="541"/>
      <c r="D330" s="190"/>
      <c r="E330" s="136"/>
      <c r="F330" s="137"/>
      <c r="G330" s="191"/>
      <c r="H330" s="134">
        <v>762771826</v>
      </c>
      <c r="I330" s="134">
        <v>170110040</v>
      </c>
      <c r="J330" s="134">
        <v>175481820</v>
      </c>
      <c r="K330" s="134">
        <v>66000743</v>
      </c>
      <c r="L330" s="134">
        <v>0</v>
      </c>
      <c r="M330" s="134">
        <v>0</v>
      </c>
      <c r="N330" s="134">
        <v>0</v>
      </c>
      <c r="O330" s="134">
        <v>0</v>
      </c>
      <c r="P330" s="134">
        <v>0</v>
      </c>
      <c r="Q330" s="134">
        <v>0</v>
      </c>
      <c r="R330" s="134">
        <v>0</v>
      </c>
      <c r="S330" s="134">
        <v>0</v>
      </c>
      <c r="T330" s="134">
        <v>0</v>
      </c>
      <c r="U330" s="134">
        <v>0</v>
      </c>
      <c r="V330" s="134"/>
    </row>
    <row r="331" spans="1:22" s="135" customFormat="1" ht="15">
      <c r="A331" s="192"/>
      <c r="B331" s="540" t="s">
        <v>403</v>
      </c>
      <c r="C331" s="541"/>
      <c r="D331" s="190"/>
      <c r="E331" s="136"/>
      <c r="F331" s="137"/>
      <c r="G331" s="191" t="s">
        <v>413</v>
      </c>
      <c r="H331" s="134">
        <v>58121486</v>
      </c>
      <c r="I331" s="134">
        <v>5270725</v>
      </c>
      <c r="J331" s="134">
        <v>10116876</v>
      </c>
      <c r="K331" s="134">
        <v>13502655</v>
      </c>
      <c r="L331" s="134">
        <v>6832500</v>
      </c>
      <c r="M331" s="134">
        <v>3000000</v>
      </c>
      <c r="N331" s="134">
        <v>0</v>
      </c>
      <c r="O331" s="134">
        <v>0</v>
      </c>
      <c r="P331" s="134">
        <v>0</v>
      </c>
      <c r="Q331" s="134">
        <v>0</v>
      </c>
      <c r="R331" s="134">
        <v>0</v>
      </c>
      <c r="S331" s="134">
        <v>0</v>
      </c>
      <c r="T331" s="134">
        <v>0</v>
      </c>
      <c r="U331" s="134">
        <v>0</v>
      </c>
      <c r="V331" s="134"/>
    </row>
    <row r="332" spans="1:22" s="135" customFormat="1" ht="15" customHeight="1">
      <c r="A332" s="542" t="s">
        <v>194</v>
      </c>
      <c r="B332" s="543"/>
      <c r="C332" s="544"/>
      <c r="D332" s="190"/>
      <c r="E332" s="545"/>
      <c r="F332" s="546"/>
      <c r="G332" s="191"/>
      <c r="H332" s="134">
        <v>571099579</v>
      </c>
      <c r="I332" s="134">
        <v>130844953</v>
      </c>
      <c r="J332" s="134">
        <v>119244136</v>
      </c>
      <c r="K332" s="134">
        <v>50197979</v>
      </c>
      <c r="L332" s="134">
        <v>9696473</v>
      </c>
      <c r="M332" s="134">
        <v>5279708</v>
      </c>
      <c r="N332" s="134">
        <v>3640922</v>
      </c>
      <c r="O332" s="134">
        <v>3221814</v>
      </c>
      <c r="P332" s="134">
        <v>2993998</v>
      </c>
      <c r="Q332" s="134">
        <v>200000</v>
      </c>
      <c r="R332" s="134">
        <v>200000</v>
      </c>
      <c r="S332" s="134">
        <v>200000</v>
      </c>
      <c r="T332" s="134">
        <v>200000</v>
      </c>
      <c r="U332" s="134">
        <v>200000</v>
      </c>
      <c r="V332" s="134"/>
    </row>
    <row r="333" spans="1:22" s="135" customFormat="1" ht="15">
      <c r="A333" s="192"/>
      <c r="B333" s="540" t="s">
        <v>363</v>
      </c>
      <c r="C333" s="541"/>
      <c r="D333" s="190"/>
      <c r="E333" s="136"/>
      <c r="F333" s="137"/>
      <c r="G333" s="191"/>
      <c r="H333" s="134">
        <v>85222693</v>
      </c>
      <c r="I333" s="134">
        <v>30280811</v>
      </c>
      <c r="J333" s="134">
        <v>36422364</v>
      </c>
      <c r="K333" s="134">
        <v>1007920</v>
      </c>
      <c r="L333" s="134">
        <v>0</v>
      </c>
      <c r="M333" s="134">
        <v>0</v>
      </c>
      <c r="N333" s="134">
        <v>0</v>
      </c>
      <c r="O333" s="134">
        <v>0</v>
      </c>
      <c r="P333" s="134">
        <v>0</v>
      </c>
      <c r="Q333" s="134">
        <v>0</v>
      </c>
      <c r="R333" s="134">
        <v>0</v>
      </c>
      <c r="S333" s="134">
        <v>0</v>
      </c>
      <c r="T333" s="134">
        <v>0</v>
      </c>
      <c r="U333" s="134">
        <v>0</v>
      </c>
      <c r="V333" s="134"/>
    </row>
    <row r="334" spans="1:22" s="135" customFormat="1" ht="15">
      <c r="A334" s="193"/>
      <c r="B334" s="540" t="s">
        <v>376</v>
      </c>
      <c r="C334" s="541"/>
      <c r="D334" s="190"/>
      <c r="E334" s="136"/>
      <c r="F334" s="137"/>
      <c r="G334" s="191"/>
      <c r="H334" s="134">
        <v>141135696</v>
      </c>
      <c r="I334" s="134">
        <v>30584333</v>
      </c>
      <c r="J334" s="134">
        <v>19370208</v>
      </c>
      <c r="K334" s="134">
        <v>18949978</v>
      </c>
      <c r="L334" s="134">
        <v>5863973</v>
      </c>
      <c r="M334" s="134">
        <v>5279708</v>
      </c>
      <c r="N334" s="134">
        <v>3640922</v>
      </c>
      <c r="O334" s="134">
        <v>3221814</v>
      </c>
      <c r="P334" s="134">
        <v>2993998</v>
      </c>
      <c r="Q334" s="134">
        <v>200000</v>
      </c>
      <c r="R334" s="134">
        <v>200000</v>
      </c>
      <c r="S334" s="134">
        <v>200000</v>
      </c>
      <c r="T334" s="134">
        <v>200000</v>
      </c>
      <c r="U334" s="134">
        <v>200000</v>
      </c>
      <c r="V334" s="134"/>
    </row>
    <row r="335" spans="1:22" s="135" customFormat="1" ht="15">
      <c r="A335" s="193"/>
      <c r="B335" s="540" t="s">
        <v>364</v>
      </c>
      <c r="C335" s="541"/>
      <c r="D335" s="190"/>
      <c r="E335" s="136"/>
      <c r="F335" s="137"/>
      <c r="G335" s="191"/>
      <c r="H335" s="134">
        <v>334441190</v>
      </c>
      <c r="I335" s="134">
        <v>69879809</v>
      </c>
      <c r="J335" s="134">
        <v>60871564</v>
      </c>
      <c r="K335" s="134">
        <v>26452581</v>
      </c>
      <c r="L335" s="134">
        <v>0</v>
      </c>
      <c r="M335" s="134">
        <v>0</v>
      </c>
      <c r="N335" s="134">
        <v>0</v>
      </c>
      <c r="O335" s="134">
        <v>0</v>
      </c>
      <c r="P335" s="134">
        <v>0</v>
      </c>
      <c r="Q335" s="134">
        <v>0</v>
      </c>
      <c r="R335" s="134">
        <v>0</v>
      </c>
      <c r="S335" s="134">
        <v>0</v>
      </c>
      <c r="T335" s="134">
        <v>0</v>
      </c>
      <c r="U335" s="134">
        <v>0</v>
      </c>
      <c r="V335" s="134"/>
    </row>
    <row r="336" spans="1:22" s="135" customFormat="1" ht="15">
      <c r="A336" s="192"/>
      <c r="B336" s="540" t="s">
        <v>403</v>
      </c>
      <c r="C336" s="541"/>
      <c r="D336" s="190"/>
      <c r="E336" s="136"/>
      <c r="F336" s="137"/>
      <c r="G336" s="191"/>
      <c r="H336" s="134">
        <v>10300000</v>
      </c>
      <c r="I336" s="134">
        <v>100000</v>
      </c>
      <c r="J336" s="134">
        <v>2580000</v>
      </c>
      <c r="K336" s="134">
        <v>3787500</v>
      </c>
      <c r="L336" s="134">
        <v>3832500</v>
      </c>
      <c r="M336" s="134">
        <v>0</v>
      </c>
      <c r="N336" s="134">
        <v>0</v>
      </c>
      <c r="O336" s="134">
        <v>0</v>
      </c>
      <c r="P336" s="134">
        <v>0</v>
      </c>
      <c r="Q336" s="134">
        <v>0</v>
      </c>
      <c r="R336" s="134">
        <v>0</v>
      </c>
      <c r="S336" s="134">
        <v>0</v>
      </c>
      <c r="T336" s="134">
        <v>0</v>
      </c>
      <c r="U336" s="134">
        <v>0</v>
      </c>
      <c r="V336" s="134"/>
    </row>
    <row r="337" spans="1:22" s="135" customFormat="1" ht="13.5" customHeight="1">
      <c r="A337" s="542" t="s">
        <v>196</v>
      </c>
      <c r="B337" s="543"/>
      <c r="C337" s="544"/>
      <c r="D337" s="190"/>
      <c r="E337" s="545"/>
      <c r="F337" s="546"/>
      <c r="G337" s="191"/>
      <c r="H337" s="134">
        <v>1920133285</v>
      </c>
      <c r="I337" s="134">
        <v>707430432</v>
      </c>
      <c r="J337" s="134">
        <v>704315673</v>
      </c>
      <c r="K337" s="134">
        <v>202303681</v>
      </c>
      <c r="L337" s="134">
        <v>13000000</v>
      </c>
      <c r="M337" s="134">
        <v>13000000</v>
      </c>
      <c r="N337" s="134">
        <v>15000000</v>
      </c>
      <c r="O337" s="134">
        <v>2826599</v>
      </c>
      <c r="P337" s="134">
        <v>2826599</v>
      </c>
      <c r="Q337" s="134">
        <v>0</v>
      </c>
      <c r="R337" s="134">
        <v>0</v>
      </c>
      <c r="S337" s="134">
        <v>0</v>
      </c>
      <c r="T337" s="134">
        <v>0</v>
      </c>
      <c r="U337" s="134">
        <v>0</v>
      </c>
      <c r="V337" s="134"/>
    </row>
    <row r="338" spans="1:22" ht="15">
      <c r="A338" s="192"/>
      <c r="B338" s="540" t="s">
        <v>363</v>
      </c>
      <c r="C338" s="541"/>
      <c r="D338" s="190"/>
      <c r="E338" s="136"/>
      <c r="F338" s="137"/>
      <c r="G338" s="191"/>
      <c r="H338" s="134">
        <v>1102685492</v>
      </c>
      <c r="I338" s="134">
        <v>504151537</v>
      </c>
      <c r="J338" s="134">
        <v>458462055</v>
      </c>
      <c r="K338" s="134">
        <v>92070134</v>
      </c>
      <c r="L338" s="134">
        <v>0</v>
      </c>
      <c r="M338" s="134">
        <v>0</v>
      </c>
      <c r="N338" s="134">
        <v>0</v>
      </c>
      <c r="O338" s="134">
        <v>0</v>
      </c>
      <c r="P338" s="134">
        <v>0</v>
      </c>
      <c r="Q338" s="134">
        <v>0</v>
      </c>
      <c r="R338" s="134">
        <v>0</v>
      </c>
      <c r="S338" s="134">
        <v>0</v>
      </c>
      <c r="T338" s="134">
        <v>0</v>
      </c>
      <c r="U338" s="134">
        <v>0</v>
      </c>
      <c r="V338" s="134"/>
    </row>
    <row r="339" spans="1:22" ht="15">
      <c r="A339" s="193"/>
      <c r="B339" s="540" t="s">
        <v>376</v>
      </c>
      <c r="C339" s="541"/>
      <c r="D339" s="190"/>
      <c r="E339" s="136"/>
      <c r="F339" s="137"/>
      <c r="G339" s="191"/>
      <c r="H339" s="134">
        <v>341295671</v>
      </c>
      <c r="I339" s="134">
        <v>97877939</v>
      </c>
      <c r="J339" s="134">
        <v>123706486</v>
      </c>
      <c r="K339" s="134">
        <v>60970230</v>
      </c>
      <c r="L339" s="134">
        <v>10000000</v>
      </c>
      <c r="M339" s="134">
        <v>10000000</v>
      </c>
      <c r="N339" s="134">
        <v>15000000</v>
      </c>
      <c r="O339" s="134">
        <v>2826599</v>
      </c>
      <c r="P339" s="134">
        <v>2826599</v>
      </c>
      <c r="Q339" s="134">
        <v>0</v>
      </c>
      <c r="R339" s="134">
        <v>0</v>
      </c>
      <c r="S339" s="134">
        <v>0</v>
      </c>
      <c r="T339" s="134">
        <v>0</v>
      </c>
      <c r="U339" s="134">
        <v>0</v>
      </c>
      <c r="V339" s="134"/>
    </row>
    <row r="340" spans="1:22" s="135" customFormat="1" ht="15">
      <c r="A340" s="193"/>
      <c r="B340" s="540" t="s">
        <v>364</v>
      </c>
      <c r="C340" s="541"/>
      <c r="D340" s="190"/>
      <c r="E340" s="136"/>
      <c r="F340" s="137"/>
      <c r="G340" s="191"/>
      <c r="H340" s="134">
        <v>428330636</v>
      </c>
      <c r="I340" s="134">
        <v>100230231</v>
      </c>
      <c r="J340" s="134">
        <v>114610256</v>
      </c>
      <c r="K340" s="134">
        <v>39548162</v>
      </c>
      <c r="L340" s="134">
        <v>0</v>
      </c>
      <c r="M340" s="134">
        <v>0</v>
      </c>
      <c r="N340" s="134">
        <v>0</v>
      </c>
      <c r="O340" s="134">
        <v>0</v>
      </c>
      <c r="P340" s="134">
        <v>0</v>
      </c>
      <c r="Q340" s="134">
        <v>0</v>
      </c>
      <c r="R340" s="134">
        <v>0</v>
      </c>
      <c r="S340" s="134">
        <v>0</v>
      </c>
      <c r="T340" s="134">
        <v>0</v>
      </c>
      <c r="U340" s="134">
        <v>0</v>
      </c>
      <c r="V340" s="134"/>
    </row>
    <row r="341" spans="1:22" s="135" customFormat="1" ht="15">
      <c r="A341" s="192"/>
      <c r="B341" s="540" t="s">
        <v>403</v>
      </c>
      <c r="C341" s="541"/>
      <c r="D341" s="190"/>
      <c r="E341" s="136"/>
      <c r="F341" s="137"/>
      <c r="G341" s="191"/>
      <c r="H341" s="134">
        <v>47821486</v>
      </c>
      <c r="I341" s="134">
        <v>5170725</v>
      </c>
      <c r="J341" s="134">
        <v>7536876</v>
      </c>
      <c r="K341" s="134">
        <v>9715155</v>
      </c>
      <c r="L341" s="134">
        <v>3000000</v>
      </c>
      <c r="M341" s="134">
        <v>3000000</v>
      </c>
      <c r="N341" s="134">
        <v>0</v>
      </c>
      <c r="O341" s="134">
        <v>0</v>
      </c>
      <c r="P341" s="134">
        <v>0</v>
      </c>
      <c r="Q341" s="134">
        <v>0</v>
      </c>
      <c r="R341" s="134">
        <v>0</v>
      </c>
      <c r="S341" s="134">
        <v>0</v>
      </c>
      <c r="T341" s="134">
        <v>0</v>
      </c>
      <c r="U341" s="134">
        <v>0</v>
      </c>
      <c r="V341" s="134"/>
    </row>
    <row r="342" spans="1:22">
      <c r="A342" s="140"/>
      <c r="B342" s="141"/>
      <c r="C342" s="141"/>
      <c r="D342" s="140"/>
      <c r="E342" s="140"/>
      <c r="F342" s="140"/>
      <c r="G342" s="140"/>
      <c r="H342" s="143"/>
      <c r="I342" s="143"/>
      <c r="J342" s="143"/>
      <c r="K342" s="143"/>
      <c r="L342" s="143"/>
      <c r="M342" s="143"/>
      <c r="N342" s="143"/>
      <c r="O342" s="143"/>
      <c r="P342" s="143"/>
      <c r="Q342" s="143"/>
      <c r="R342" s="143"/>
      <c r="S342" s="143"/>
      <c r="T342" s="143"/>
      <c r="U342" s="143"/>
      <c r="V342" s="143"/>
    </row>
    <row r="343" spans="1:22" s="135" customFormat="1" ht="15">
      <c r="A343" s="140" t="s">
        <v>435</v>
      </c>
      <c r="B343" s="141"/>
      <c r="C343" s="141"/>
      <c r="D343" s="190"/>
      <c r="E343" s="136"/>
      <c r="F343" s="137"/>
      <c r="G343" s="191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</row>
    <row r="344" spans="1:22" s="135" customFormat="1" ht="15" customHeight="1">
      <c r="A344" s="535" t="s">
        <v>355</v>
      </c>
      <c r="B344" s="536"/>
      <c r="C344" s="537"/>
      <c r="D344" s="190"/>
      <c r="E344" s="538"/>
      <c r="F344" s="539"/>
      <c r="G344" s="191"/>
      <c r="H344" s="134">
        <f t="shared" ref="H344:V358" si="131">H281-H327</f>
        <v>-6568473</v>
      </c>
      <c r="I344" s="134">
        <f t="shared" si="131"/>
        <v>4386528</v>
      </c>
      <c r="J344" s="134">
        <f t="shared" si="131"/>
        <v>-235666</v>
      </c>
      <c r="K344" s="134">
        <f t="shared" si="131"/>
        <v>4727410</v>
      </c>
      <c r="L344" s="134">
        <f t="shared" si="131"/>
        <v>0</v>
      </c>
      <c r="M344" s="134">
        <f t="shared" si="131"/>
        <v>0</v>
      </c>
      <c r="N344" s="134">
        <f t="shared" si="131"/>
        <v>0</v>
      </c>
      <c r="O344" s="134">
        <f t="shared" si="131"/>
        <v>0</v>
      </c>
      <c r="P344" s="134">
        <f t="shared" si="131"/>
        <v>0</v>
      </c>
      <c r="Q344" s="134">
        <f t="shared" si="131"/>
        <v>0</v>
      </c>
      <c r="R344" s="134">
        <f t="shared" si="131"/>
        <v>0</v>
      </c>
      <c r="S344" s="134">
        <f t="shared" si="131"/>
        <v>0</v>
      </c>
      <c r="T344" s="134">
        <f t="shared" si="131"/>
        <v>0</v>
      </c>
      <c r="U344" s="134">
        <f t="shared" si="131"/>
        <v>0</v>
      </c>
      <c r="V344" s="134">
        <f t="shared" si="131"/>
        <v>49948595</v>
      </c>
    </row>
    <row r="345" spans="1:22" s="135" customFormat="1" ht="15">
      <c r="A345" s="192"/>
      <c r="B345" s="540" t="s">
        <v>363</v>
      </c>
      <c r="C345" s="541"/>
      <c r="D345" s="190"/>
      <c r="E345" s="136"/>
      <c r="F345" s="137"/>
      <c r="G345" s="191"/>
      <c r="H345" s="134">
        <f t="shared" si="131"/>
        <v>10412600</v>
      </c>
      <c r="I345" s="134">
        <f t="shared" si="131"/>
        <v>3109861</v>
      </c>
      <c r="J345" s="134">
        <f t="shared" si="131"/>
        <v>-983587</v>
      </c>
      <c r="K345" s="134">
        <f t="shared" si="131"/>
        <v>11529664</v>
      </c>
      <c r="L345" s="134">
        <f t="shared" si="131"/>
        <v>0</v>
      </c>
      <c r="M345" s="134">
        <f t="shared" si="131"/>
        <v>0</v>
      </c>
      <c r="N345" s="134">
        <f t="shared" si="131"/>
        <v>0</v>
      </c>
      <c r="O345" s="134">
        <f t="shared" si="131"/>
        <v>0</v>
      </c>
      <c r="P345" s="134">
        <f t="shared" si="131"/>
        <v>0</v>
      </c>
      <c r="Q345" s="134">
        <f t="shared" si="131"/>
        <v>0</v>
      </c>
      <c r="R345" s="134">
        <f t="shared" si="131"/>
        <v>0</v>
      </c>
      <c r="S345" s="134">
        <f t="shared" si="131"/>
        <v>0</v>
      </c>
      <c r="T345" s="134">
        <f t="shared" si="131"/>
        <v>0</v>
      </c>
      <c r="U345" s="134">
        <f t="shared" si="131"/>
        <v>0</v>
      </c>
      <c r="V345" s="134"/>
    </row>
    <row r="346" spans="1:22" s="135" customFormat="1" ht="15">
      <c r="A346" s="193"/>
      <c r="B346" s="540" t="s">
        <v>376</v>
      </c>
      <c r="C346" s="541"/>
      <c r="D346" s="190"/>
      <c r="E346" s="136"/>
      <c r="F346" s="137"/>
      <c r="G346" s="191"/>
      <c r="H346" s="134">
        <f t="shared" si="131"/>
        <v>-14498544</v>
      </c>
      <c r="I346" s="134">
        <f t="shared" si="131"/>
        <v>-3602</v>
      </c>
      <c r="J346" s="134">
        <f t="shared" si="131"/>
        <v>-1504440</v>
      </c>
      <c r="K346" s="134">
        <f t="shared" si="131"/>
        <v>-10601606</v>
      </c>
      <c r="L346" s="134">
        <f t="shared" si="131"/>
        <v>0</v>
      </c>
      <c r="M346" s="134">
        <f t="shared" si="131"/>
        <v>0</v>
      </c>
      <c r="N346" s="134">
        <f t="shared" si="131"/>
        <v>0</v>
      </c>
      <c r="O346" s="134">
        <f t="shared" si="131"/>
        <v>0</v>
      </c>
      <c r="P346" s="134">
        <f t="shared" si="131"/>
        <v>0</v>
      </c>
      <c r="Q346" s="134">
        <f t="shared" si="131"/>
        <v>0</v>
      </c>
      <c r="R346" s="134">
        <f t="shared" si="131"/>
        <v>0</v>
      </c>
      <c r="S346" s="134">
        <f t="shared" si="131"/>
        <v>0</v>
      </c>
      <c r="T346" s="134">
        <f t="shared" si="131"/>
        <v>0</v>
      </c>
      <c r="U346" s="134">
        <f t="shared" si="131"/>
        <v>0</v>
      </c>
      <c r="V346" s="134"/>
    </row>
    <row r="347" spans="1:22" s="135" customFormat="1" ht="15">
      <c r="A347" s="193"/>
      <c r="B347" s="540" t="s">
        <v>364</v>
      </c>
      <c r="C347" s="541"/>
      <c r="D347" s="190"/>
      <c r="E347" s="136"/>
      <c r="F347" s="137"/>
      <c r="G347" s="191"/>
      <c r="H347" s="134">
        <f t="shared" si="131"/>
        <v>-2482529</v>
      </c>
      <c r="I347" s="134">
        <f t="shared" si="131"/>
        <v>1280269</v>
      </c>
      <c r="J347" s="134">
        <f t="shared" si="131"/>
        <v>2252361</v>
      </c>
      <c r="K347" s="134">
        <f t="shared" si="131"/>
        <v>3799352</v>
      </c>
      <c r="L347" s="134">
        <f t="shared" si="131"/>
        <v>0</v>
      </c>
      <c r="M347" s="134">
        <f t="shared" si="131"/>
        <v>0</v>
      </c>
      <c r="N347" s="134">
        <f t="shared" si="131"/>
        <v>0</v>
      </c>
      <c r="O347" s="134">
        <f t="shared" si="131"/>
        <v>0</v>
      </c>
      <c r="P347" s="134">
        <f t="shared" si="131"/>
        <v>0</v>
      </c>
      <c r="Q347" s="134">
        <f t="shared" si="131"/>
        <v>0</v>
      </c>
      <c r="R347" s="134">
        <f t="shared" si="131"/>
        <v>0</v>
      </c>
      <c r="S347" s="134">
        <f t="shared" si="131"/>
        <v>0</v>
      </c>
      <c r="T347" s="134">
        <f t="shared" si="131"/>
        <v>0</v>
      </c>
      <c r="U347" s="134">
        <f t="shared" si="131"/>
        <v>0</v>
      </c>
      <c r="V347" s="134"/>
    </row>
    <row r="348" spans="1:22" s="135" customFormat="1" ht="15">
      <c r="A348" s="192"/>
      <c r="B348" s="540" t="s">
        <v>403</v>
      </c>
      <c r="C348" s="541"/>
      <c r="D348" s="190"/>
      <c r="E348" s="136"/>
      <c r="F348" s="137"/>
      <c r="G348" s="191" t="s">
        <v>413</v>
      </c>
      <c r="H348" s="134">
        <f t="shared" si="131"/>
        <v>0</v>
      </c>
      <c r="I348" s="134">
        <f t="shared" si="131"/>
        <v>0</v>
      </c>
      <c r="J348" s="134">
        <f t="shared" si="131"/>
        <v>0</v>
      </c>
      <c r="K348" s="134">
        <f t="shared" si="131"/>
        <v>0</v>
      </c>
      <c r="L348" s="134">
        <f t="shared" si="131"/>
        <v>0</v>
      </c>
      <c r="M348" s="134">
        <f t="shared" si="131"/>
        <v>0</v>
      </c>
      <c r="N348" s="134">
        <f t="shared" si="131"/>
        <v>0</v>
      </c>
      <c r="O348" s="134">
        <f t="shared" si="131"/>
        <v>0</v>
      </c>
      <c r="P348" s="134">
        <f t="shared" si="131"/>
        <v>0</v>
      </c>
      <c r="Q348" s="134">
        <f t="shared" si="131"/>
        <v>0</v>
      </c>
      <c r="R348" s="134">
        <f t="shared" si="131"/>
        <v>0</v>
      </c>
      <c r="S348" s="134">
        <f t="shared" si="131"/>
        <v>0</v>
      </c>
      <c r="T348" s="134">
        <f t="shared" si="131"/>
        <v>0</v>
      </c>
      <c r="U348" s="134">
        <f t="shared" si="131"/>
        <v>0</v>
      </c>
      <c r="V348" s="134"/>
    </row>
    <row r="349" spans="1:22" s="135" customFormat="1" ht="15" customHeight="1">
      <c r="A349" s="542" t="s">
        <v>194</v>
      </c>
      <c r="B349" s="543"/>
      <c r="C349" s="544"/>
      <c r="D349" s="190"/>
      <c r="E349" s="545"/>
      <c r="F349" s="546"/>
      <c r="G349" s="191"/>
      <c r="H349" s="134">
        <f t="shared" si="131"/>
        <v>-9269038</v>
      </c>
      <c r="I349" s="134">
        <f t="shared" si="131"/>
        <v>2408338</v>
      </c>
      <c r="J349" s="134">
        <f t="shared" si="131"/>
        <v>370766</v>
      </c>
      <c r="K349" s="134">
        <f t="shared" si="131"/>
        <v>0</v>
      </c>
      <c r="L349" s="134">
        <f t="shared" si="131"/>
        <v>0</v>
      </c>
      <c r="M349" s="134">
        <f t="shared" si="131"/>
        <v>0</v>
      </c>
      <c r="N349" s="134">
        <f t="shared" si="131"/>
        <v>0</v>
      </c>
      <c r="O349" s="134">
        <f t="shared" si="131"/>
        <v>0</v>
      </c>
      <c r="P349" s="134">
        <f t="shared" si="131"/>
        <v>0</v>
      </c>
      <c r="Q349" s="134">
        <f t="shared" si="131"/>
        <v>0</v>
      </c>
      <c r="R349" s="134">
        <f t="shared" si="131"/>
        <v>0</v>
      </c>
      <c r="S349" s="134">
        <f t="shared" si="131"/>
        <v>0</v>
      </c>
      <c r="T349" s="134">
        <f t="shared" si="131"/>
        <v>0</v>
      </c>
      <c r="U349" s="134">
        <f t="shared" si="131"/>
        <v>0</v>
      </c>
      <c r="V349" s="134"/>
    </row>
    <row r="350" spans="1:22" s="135" customFormat="1" ht="15">
      <c r="A350" s="192"/>
      <c r="B350" s="540" t="s">
        <v>363</v>
      </c>
      <c r="C350" s="541"/>
      <c r="D350" s="190"/>
      <c r="E350" s="136"/>
      <c r="F350" s="137"/>
      <c r="G350" s="191"/>
      <c r="H350" s="134">
        <f t="shared" si="131"/>
        <v>233693</v>
      </c>
      <c r="I350" s="134">
        <f t="shared" si="131"/>
        <v>2344553</v>
      </c>
      <c r="J350" s="134">
        <f t="shared" si="131"/>
        <v>233693</v>
      </c>
      <c r="K350" s="134">
        <f t="shared" si="131"/>
        <v>0</v>
      </c>
      <c r="L350" s="134">
        <f t="shared" si="131"/>
        <v>0</v>
      </c>
      <c r="M350" s="134">
        <f t="shared" si="131"/>
        <v>0</v>
      </c>
      <c r="N350" s="134">
        <f t="shared" si="131"/>
        <v>0</v>
      </c>
      <c r="O350" s="134">
        <f t="shared" si="131"/>
        <v>0</v>
      </c>
      <c r="P350" s="134">
        <f t="shared" si="131"/>
        <v>0</v>
      </c>
      <c r="Q350" s="134">
        <f t="shared" si="131"/>
        <v>0</v>
      </c>
      <c r="R350" s="134">
        <f t="shared" si="131"/>
        <v>0</v>
      </c>
      <c r="S350" s="134">
        <f t="shared" si="131"/>
        <v>0</v>
      </c>
      <c r="T350" s="134">
        <f t="shared" si="131"/>
        <v>0</v>
      </c>
      <c r="U350" s="134">
        <f t="shared" si="131"/>
        <v>0</v>
      </c>
      <c r="V350" s="134"/>
    </row>
    <row r="351" spans="1:22" s="135" customFormat="1" ht="15">
      <c r="A351" s="193"/>
      <c r="B351" s="540" t="s">
        <v>376</v>
      </c>
      <c r="C351" s="541"/>
      <c r="D351" s="190"/>
      <c r="E351" s="136"/>
      <c r="F351" s="137"/>
      <c r="G351" s="191"/>
      <c r="H351" s="134">
        <f t="shared" si="131"/>
        <v>-34552</v>
      </c>
      <c r="I351" s="134">
        <f t="shared" si="131"/>
        <v>0</v>
      </c>
      <c r="J351" s="134">
        <f t="shared" si="131"/>
        <v>0</v>
      </c>
      <c r="K351" s="134">
        <f t="shared" si="131"/>
        <v>0</v>
      </c>
      <c r="L351" s="134">
        <f t="shared" si="131"/>
        <v>0</v>
      </c>
      <c r="M351" s="134">
        <f t="shared" si="131"/>
        <v>0</v>
      </c>
      <c r="N351" s="134">
        <f t="shared" si="131"/>
        <v>0</v>
      </c>
      <c r="O351" s="134">
        <f t="shared" si="131"/>
        <v>0</v>
      </c>
      <c r="P351" s="134">
        <f t="shared" si="131"/>
        <v>0</v>
      </c>
      <c r="Q351" s="134">
        <f t="shared" si="131"/>
        <v>0</v>
      </c>
      <c r="R351" s="134">
        <f t="shared" si="131"/>
        <v>0</v>
      </c>
      <c r="S351" s="134">
        <f t="shared" si="131"/>
        <v>0</v>
      </c>
      <c r="T351" s="134">
        <f t="shared" si="131"/>
        <v>0</v>
      </c>
      <c r="U351" s="134">
        <f t="shared" si="131"/>
        <v>0</v>
      </c>
      <c r="V351" s="134"/>
    </row>
    <row r="352" spans="1:22" s="135" customFormat="1" ht="15">
      <c r="A352" s="193"/>
      <c r="B352" s="540" t="s">
        <v>364</v>
      </c>
      <c r="C352" s="541"/>
      <c r="D352" s="190"/>
      <c r="E352" s="136"/>
      <c r="F352" s="137"/>
      <c r="G352" s="191"/>
      <c r="H352" s="134">
        <f t="shared" si="131"/>
        <v>-9468179</v>
      </c>
      <c r="I352" s="134">
        <f t="shared" si="131"/>
        <v>63785</v>
      </c>
      <c r="J352" s="134">
        <f t="shared" si="131"/>
        <v>137073</v>
      </c>
      <c r="K352" s="134">
        <f t="shared" si="131"/>
        <v>0</v>
      </c>
      <c r="L352" s="134">
        <f t="shared" si="131"/>
        <v>0</v>
      </c>
      <c r="M352" s="134">
        <f t="shared" si="131"/>
        <v>0</v>
      </c>
      <c r="N352" s="134">
        <f t="shared" si="131"/>
        <v>0</v>
      </c>
      <c r="O352" s="134">
        <f t="shared" si="131"/>
        <v>0</v>
      </c>
      <c r="P352" s="134">
        <f t="shared" si="131"/>
        <v>0</v>
      </c>
      <c r="Q352" s="134">
        <f t="shared" si="131"/>
        <v>0</v>
      </c>
      <c r="R352" s="134">
        <f t="shared" si="131"/>
        <v>0</v>
      </c>
      <c r="S352" s="134">
        <f t="shared" si="131"/>
        <v>0</v>
      </c>
      <c r="T352" s="134">
        <f t="shared" si="131"/>
        <v>0</v>
      </c>
      <c r="U352" s="134">
        <f t="shared" si="131"/>
        <v>0</v>
      </c>
      <c r="V352" s="134"/>
    </row>
    <row r="353" spans="1:22" s="135" customFormat="1" ht="15">
      <c r="A353" s="192"/>
      <c r="B353" s="540" t="s">
        <v>403</v>
      </c>
      <c r="C353" s="541"/>
      <c r="D353" s="190"/>
      <c r="E353" s="136"/>
      <c r="F353" s="137"/>
      <c r="G353" s="191"/>
      <c r="H353" s="134">
        <f t="shared" si="131"/>
        <v>0</v>
      </c>
      <c r="I353" s="134">
        <f t="shared" si="131"/>
        <v>0</v>
      </c>
      <c r="J353" s="134">
        <f t="shared" si="131"/>
        <v>0</v>
      </c>
      <c r="K353" s="134">
        <f t="shared" si="131"/>
        <v>0</v>
      </c>
      <c r="L353" s="134">
        <f t="shared" si="131"/>
        <v>0</v>
      </c>
      <c r="M353" s="134">
        <f t="shared" si="131"/>
        <v>0</v>
      </c>
      <c r="N353" s="134">
        <f t="shared" si="131"/>
        <v>0</v>
      </c>
      <c r="O353" s="134">
        <f t="shared" si="131"/>
        <v>0</v>
      </c>
      <c r="P353" s="134">
        <f t="shared" si="131"/>
        <v>0</v>
      </c>
      <c r="Q353" s="134">
        <f t="shared" si="131"/>
        <v>0</v>
      </c>
      <c r="R353" s="134">
        <f t="shared" si="131"/>
        <v>0</v>
      </c>
      <c r="S353" s="134">
        <f t="shared" si="131"/>
        <v>0</v>
      </c>
      <c r="T353" s="134">
        <f t="shared" si="131"/>
        <v>0</v>
      </c>
      <c r="U353" s="134">
        <f t="shared" si="131"/>
        <v>0</v>
      </c>
      <c r="V353" s="134"/>
    </row>
    <row r="354" spans="1:22" s="135" customFormat="1" ht="13.5" customHeight="1">
      <c r="A354" s="542" t="s">
        <v>196</v>
      </c>
      <c r="B354" s="543"/>
      <c r="C354" s="544"/>
      <c r="D354" s="190"/>
      <c r="E354" s="545"/>
      <c r="F354" s="546"/>
      <c r="G354" s="191"/>
      <c r="H354" s="134">
        <f t="shared" si="131"/>
        <v>2700565</v>
      </c>
      <c r="I354" s="134">
        <f t="shared" si="131"/>
        <v>1978190</v>
      </c>
      <c r="J354" s="134">
        <f t="shared" si="131"/>
        <v>-606432</v>
      </c>
      <c r="K354" s="134">
        <f t="shared" si="131"/>
        <v>4727410</v>
      </c>
      <c r="L354" s="134">
        <f t="shared" si="131"/>
        <v>0</v>
      </c>
      <c r="M354" s="134">
        <f t="shared" si="131"/>
        <v>0</v>
      </c>
      <c r="N354" s="134">
        <f t="shared" si="131"/>
        <v>0</v>
      </c>
      <c r="O354" s="134">
        <f t="shared" si="131"/>
        <v>0</v>
      </c>
      <c r="P354" s="134">
        <f t="shared" si="131"/>
        <v>0</v>
      </c>
      <c r="Q354" s="134">
        <f t="shared" si="131"/>
        <v>0</v>
      </c>
      <c r="R354" s="134">
        <f t="shared" si="131"/>
        <v>0</v>
      </c>
      <c r="S354" s="134">
        <f t="shared" si="131"/>
        <v>0</v>
      </c>
      <c r="T354" s="134">
        <f t="shared" si="131"/>
        <v>0</v>
      </c>
      <c r="U354" s="134">
        <f t="shared" si="131"/>
        <v>0</v>
      </c>
      <c r="V354" s="134"/>
    </row>
    <row r="355" spans="1:22" ht="15">
      <c r="A355" s="192"/>
      <c r="B355" s="540" t="s">
        <v>363</v>
      </c>
      <c r="C355" s="541"/>
      <c r="D355" s="190"/>
      <c r="E355" s="136"/>
      <c r="F355" s="137"/>
      <c r="G355" s="191"/>
      <c r="H355" s="134">
        <f t="shared" si="131"/>
        <v>10178907</v>
      </c>
      <c r="I355" s="134">
        <f t="shared" si="131"/>
        <v>765308</v>
      </c>
      <c r="J355" s="134">
        <f t="shared" si="131"/>
        <v>-1217280</v>
      </c>
      <c r="K355" s="134">
        <f t="shared" si="131"/>
        <v>11529664</v>
      </c>
      <c r="L355" s="134">
        <f t="shared" si="131"/>
        <v>0</v>
      </c>
      <c r="M355" s="134">
        <f t="shared" si="131"/>
        <v>0</v>
      </c>
      <c r="N355" s="134">
        <f t="shared" si="131"/>
        <v>0</v>
      </c>
      <c r="O355" s="134">
        <f t="shared" si="131"/>
        <v>0</v>
      </c>
      <c r="P355" s="134">
        <f t="shared" si="131"/>
        <v>0</v>
      </c>
      <c r="Q355" s="134">
        <f t="shared" si="131"/>
        <v>0</v>
      </c>
      <c r="R355" s="134">
        <f t="shared" si="131"/>
        <v>0</v>
      </c>
      <c r="S355" s="134">
        <f t="shared" si="131"/>
        <v>0</v>
      </c>
      <c r="T355" s="134">
        <f t="shared" si="131"/>
        <v>0</v>
      </c>
      <c r="U355" s="134">
        <f t="shared" si="131"/>
        <v>0</v>
      </c>
      <c r="V355" s="134"/>
    </row>
    <row r="356" spans="1:22" ht="15">
      <c r="A356" s="193"/>
      <c r="B356" s="540" t="s">
        <v>376</v>
      </c>
      <c r="C356" s="541"/>
      <c r="D356" s="190"/>
      <c r="E356" s="136"/>
      <c r="F356" s="137"/>
      <c r="G356" s="191"/>
      <c r="H356" s="134">
        <f t="shared" si="131"/>
        <v>-14463992</v>
      </c>
      <c r="I356" s="134">
        <f t="shared" si="131"/>
        <v>-3602</v>
      </c>
      <c r="J356" s="134">
        <f t="shared" si="131"/>
        <v>-1504440</v>
      </c>
      <c r="K356" s="134">
        <f t="shared" si="131"/>
        <v>-10601606</v>
      </c>
      <c r="L356" s="134">
        <f t="shared" si="131"/>
        <v>0</v>
      </c>
      <c r="M356" s="134">
        <f t="shared" si="131"/>
        <v>0</v>
      </c>
      <c r="N356" s="134">
        <f t="shared" si="131"/>
        <v>0</v>
      </c>
      <c r="O356" s="134">
        <f t="shared" si="131"/>
        <v>0</v>
      </c>
      <c r="P356" s="134">
        <f t="shared" si="131"/>
        <v>0</v>
      </c>
      <c r="Q356" s="134">
        <f t="shared" si="131"/>
        <v>0</v>
      </c>
      <c r="R356" s="134">
        <f t="shared" si="131"/>
        <v>0</v>
      </c>
      <c r="S356" s="134">
        <f t="shared" si="131"/>
        <v>0</v>
      </c>
      <c r="T356" s="134">
        <f t="shared" si="131"/>
        <v>0</v>
      </c>
      <c r="U356" s="134">
        <f t="shared" si="131"/>
        <v>0</v>
      </c>
      <c r="V356" s="134"/>
    </row>
    <row r="357" spans="1:22" s="135" customFormat="1" ht="15">
      <c r="A357" s="193"/>
      <c r="B357" s="540" t="s">
        <v>364</v>
      </c>
      <c r="C357" s="541"/>
      <c r="D357" s="190"/>
      <c r="E357" s="136"/>
      <c r="F357" s="137"/>
      <c r="G357" s="191"/>
      <c r="H357" s="134">
        <f t="shared" si="131"/>
        <v>6985650</v>
      </c>
      <c r="I357" s="134">
        <f t="shared" si="131"/>
        <v>1216484</v>
      </c>
      <c r="J357" s="134">
        <f t="shared" si="131"/>
        <v>2115288</v>
      </c>
      <c r="K357" s="134">
        <f t="shared" si="131"/>
        <v>3799352</v>
      </c>
      <c r="L357" s="134">
        <f t="shared" si="131"/>
        <v>0</v>
      </c>
      <c r="M357" s="134">
        <f t="shared" si="131"/>
        <v>0</v>
      </c>
      <c r="N357" s="134">
        <f t="shared" si="131"/>
        <v>0</v>
      </c>
      <c r="O357" s="134">
        <f t="shared" si="131"/>
        <v>0</v>
      </c>
      <c r="P357" s="134">
        <f t="shared" si="131"/>
        <v>0</v>
      </c>
      <c r="Q357" s="134">
        <f t="shared" si="131"/>
        <v>0</v>
      </c>
      <c r="R357" s="134">
        <f t="shared" si="131"/>
        <v>0</v>
      </c>
      <c r="S357" s="134">
        <f t="shared" si="131"/>
        <v>0</v>
      </c>
      <c r="T357" s="134">
        <f t="shared" si="131"/>
        <v>0</v>
      </c>
      <c r="U357" s="134">
        <f t="shared" si="131"/>
        <v>0</v>
      </c>
      <c r="V357" s="134"/>
    </row>
    <row r="358" spans="1:22" s="135" customFormat="1" ht="15">
      <c r="A358" s="192"/>
      <c r="B358" s="540" t="s">
        <v>403</v>
      </c>
      <c r="C358" s="541"/>
      <c r="D358" s="190"/>
      <c r="E358" s="136"/>
      <c r="F358" s="137"/>
      <c r="G358" s="191"/>
      <c r="H358" s="134">
        <f t="shared" si="131"/>
        <v>0</v>
      </c>
      <c r="I358" s="134">
        <f t="shared" si="131"/>
        <v>0</v>
      </c>
      <c r="J358" s="134">
        <f t="shared" si="131"/>
        <v>0</v>
      </c>
      <c r="K358" s="134">
        <f t="shared" si="131"/>
        <v>0</v>
      </c>
      <c r="L358" s="134">
        <f t="shared" si="131"/>
        <v>0</v>
      </c>
      <c r="M358" s="134">
        <f t="shared" si="131"/>
        <v>0</v>
      </c>
      <c r="N358" s="134">
        <f t="shared" si="131"/>
        <v>0</v>
      </c>
      <c r="O358" s="134">
        <f t="shared" si="131"/>
        <v>0</v>
      </c>
      <c r="P358" s="134">
        <f t="shared" si="131"/>
        <v>0</v>
      </c>
      <c r="Q358" s="134">
        <f t="shared" si="131"/>
        <v>0</v>
      </c>
      <c r="R358" s="134">
        <f t="shared" si="131"/>
        <v>0</v>
      </c>
      <c r="S358" s="134">
        <f t="shared" si="131"/>
        <v>0</v>
      </c>
      <c r="T358" s="134">
        <f t="shared" si="131"/>
        <v>0</v>
      </c>
      <c r="U358" s="134">
        <f t="shared" si="131"/>
        <v>0</v>
      </c>
      <c r="V358" s="134"/>
    </row>
    <row r="359" spans="1:22">
      <c r="A359" s="140"/>
      <c r="B359" s="141"/>
      <c r="C359" s="141"/>
      <c r="D359" s="140"/>
      <c r="E359" s="140"/>
      <c r="F359" s="140"/>
      <c r="G359" s="140"/>
      <c r="H359" s="143"/>
      <c r="I359" s="143"/>
      <c r="J359" s="143"/>
      <c r="K359" s="143"/>
      <c r="L359" s="143"/>
      <c r="M359" s="143"/>
      <c r="N359" s="143"/>
      <c r="O359" s="143"/>
      <c r="P359" s="143"/>
      <c r="Q359" s="143"/>
      <c r="R359" s="143"/>
      <c r="S359" s="143"/>
      <c r="T359" s="143"/>
      <c r="U359" s="143"/>
      <c r="V359" s="143"/>
    </row>
    <row r="360" spans="1:22">
      <c r="A360" s="140"/>
      <c r="B360" s="141"/>
      <c r="C360" s="141"/>
      <c r="D360" s="140"/>
      <c r="E360" s="140"/>
      <c r="F360" s="140"/>
      <c r="G360" s="140"/>
      <c r="H360" s="143"/>
      <c r="I360" s="143"/>
      <c r="J360" s="143"/>
      <c r="K360" s="143"/>
      <c r="L360" s="143"/>
      <c r="M360" s="143"/>
      <c r="N360" s="143"/>
      <c r="O360" s="143"/>
      <c r="P360" s="143"/>
      <c r="Q360" s="143"/>
      <c r="R360" s="143"/>
      <c r="S360" s="143"/>
      <c r="T360" s="143"/>
      <c r="U360" s="143"/>
      <c r="V360" s="143"/>
    </row>
    <row r="361" spans="1:22">
      <c r="A361" s="140"/>
      <c r="B361" s="141"/>
      <c r="C361" s="141"/>
      <c r="D361" s="140"/>
      <c r="E361" s="140"/>
      <c r="F361" s="140"/>
      <c r="G361" s="140"/>
      <c r="H361" s="143"/>
      <c r="I361" s="143"/>
      <c r="J361" s="143"/>
      <c r="K361" s="143"/>
      <c r="L361" s="143"/>
      <c r="M361" s="143"/>
      <c r="N361" s="143"/>
      <c r="O361" s="143"/>
      <c r="P361" s="143"/>
      <c r="Q361" s="143"/>
      <c r="R361" s="143"/>
      <c r="S361" s="143"/>
      <c r="T361" s="143"/>
      <c r="U361" s="143"/>
      <c r="V361" s="143"/>
    </row>
    <row r="362" spans="1:22">
      <c r="A362" s="140"/>
      <c r="B362" s="141"/>
      <c r="C362" s="141"/>
      <c r="D362" s="140"/>
      <c r="E362" s="140"/>
      <c r="F362" s="140"/>
      <c r="G362" s="140"/>
      <c r="H362" s="143"/>
      <c r="I362" s="143"/>
      <c r="J362" s="143"/>
      <c r="K362" s="143"/>
      <c r="L362" s="143"/>
      <c r="M362" s="143"/>
      <c r="N362" s="143"/>
      <c r="O362" s="143"/>
      <c r="P362" s="143"/>
      <c r="Q362" s="143"/>
      <c r="R362" s="143"/>
      <c r="S362" s="143"/>
      <c r="T362" s="143"/>
      <c r="U362" s="143"/>
      <c r="V362" s="143"/>
    </row>
    <row r="363" spans="1:22">
      <c r="A363" s="140"/>
      <c r="B363" s="141"/>
      <c r="C363" s="141"/>
      <c r="D363" s="140"/>
      <c r="E363" s="140"/>
      <c r="F363" s="140"/>
      <c r="G363" s="140"/>
      <c r="H363" s="143"/>
      <c r="I363" s="143"/>
      <c r="J363" s="143"/>
      <c r="K363" s="143"/>
      <c r="L363" s="143"/>
      <c r="M363" s="143"/>
      <c r="N363" s="143"/>
      <c r="O363" s="143"/>
      <c r="P363" s="143"/>
      <c r="Q363" s="143"/>
      <c r="R363" s="143"/>
      <c r="S363" s="143"/>
      <c r="T363" s="143"/>
      <c r="U363" s="143"/>
      <c r="V363" s="143"/>
    </row>
    <row r="364" spans="1:22">
      <c r="A364" s="140"/>
      <c r="B364" s="141"/>
      <c r="C364" s="141"/>
      <c r="D364" s="140"/>
      <c r="E364" s="140"/>
      <c r="F364" s="140"/>
      <c r="G364" s="140"/>
      <c r="H364" s="143"/>
      <c r="I364" s="143"/>
      <c r="J364" s="143"/>
      <c r="K364" s="143"/>
      <c r="L364" s="143"/>
      <c r="M364" s="143"/>
      <c r="N364" s="143"/>
      <c r="O364" s="143"/>
      <c r="P364" s="143"/>
      <c r="Q364" s="143"/>
      <c r="R364" s="143"/>
      <c r="S364" s="143"/>
      <c r="T364" s="143"/>
      <c r="U364" s="143"/>
      <c r="V364" s="143"/>
    </row>
    <row r="365" spans="1:22">
      <c r="A365" s="140"/>
      <c r="B365" s="141"/>
      <c r="C365" s="141"/>
      <c r="D365" s="140"/>
      <c r="E365" s="140"/>
      <c r="F365" s="140"/>
      <c r="G365" s="140"/>
      <c r="H365" s="143"/>
      <c r="I365" s="143"/>
      <c r="J365" s="143"/>
      <c r="K365" s="143"/>
      <c r="L365" s="143"/>
      <c r="M365" s="143"/>
      <c r="N365" s="143"/>
      <c r="O365" s="143"/>
      <c r="P365" s="143"/>
      <c r="Q365" s="143"/>
      <c r="R365" s="143"/>
      <c r="S365" s="143"/>
      <c r="T365" s="143"/>
      <c r="U365" s="143"/>
      <c r="V365" s="143"/>
    </row>
    <row r="366" spans="1:22">
      <c r="A366" s="140"/>
      <c r="B366" s="141"/>
      <c r="C366" s="141"/>
      <c r="D366" s="140"/>
      <c r="E366" s="140"/>
      <c r="F366" s="140"/>
      <c r="G366" s="140"/>
      <c r="H366" s="143"/>
      <c r="I366" s="143"/>
      <c r="J366" s="143"/>
      <c r="K366" s="143"/>
      <c r="L366" s="143"/>
      <c r="M366" s="143"/>
      <c r="N366" s="143"/>
      <c r="O366" s="143"/>
      <c r="P366" s="143"/>
      <c r="Q366" s="143"/>
      <c r="R366" s="143"/>
      <c r="S366" s="143"/>
      <c r="T366" s="143"/>
      <c r="U366" s="143"/>
      <c r="V366" s="143"/>
    </row>
    <row r="367" spans="1:22">
      <c r="A367" s="140"/>
      <c r="B367" s="141"/>
      <c r="C367" s="141"/>
      <c r="D367" s="140"/>
      <c r="E367" s="140"/>
      <c r="F367" s="140"/>
      <c r="G367" s="140"/>
      <c r="H367" s="143"/>
      <c r="I367" s="143"/>
      <c r="J367" s="143"/>
      <c r="K367" s="143"/>
      <c r="L367" s="143"/>
      <c r="M367" s="143"/>
      <c r="N367" s="143"/>
      <c r="O367" s="143"/>
      <c r="P367" s="143"/>
      <c r="Q367" s="143"/>
      <c r="R367" s="143"/>
      <c r="S367" s="143"/>
      <c r="T367" s="143"/>
      <c r="U367" s="143"/>
      <c r="V367" s="143"/>
    </row>
    <row r="368" spans="1:22">
      <c r="C368" s="141"/>
      <c r="D368" s="140"/>
      <c r="E368" s="140"/>
      <c r="F368" s="140"/>
      <c r="G368" s="140"/>
      <c r="H368" s="143"/>
      <c r="I368" s="143"/>
      <c r="J368" s="143"/>
      <c r="K368" s="143"/>
      <c r="L368" s="143"/>
      <c r="M368" s="143"/>
      <c r="N368" s="143"/>
      <c r="O368" s="143"/>
      <c r="P368" s="143"/>
      <c r="Q368" s="143"/>
      <c r="R368" s="143"/>
      <c r="S368" s="143"/>
      <c r="T368" s="143"/>
      <c r="U368" s="143"/>
      <c r="V368" s="143"/>
    </row>
    <row r="369" spans="1:22">
      <c r="A369" s="140"/>
      <c r="B369" s="141"/>
      <c r="C369" s="141"/>
      <c r="D369" s="140"/>
      <c r="E369" s="140"/>
      <c r="F369" s="140"/>
      <c r="G369" s="140"/>
      <c r="H369" s="143"/>
      <c r="I369" s="143"/>
      <c r="J369" s="143"/>
      <c r="K369" s="143"/>
      <c r="L369" s="143"/>
      <c r="M369" s="143"/>
      <c r="N369" s="143"/>
      <c r="O369" s="143"/>
      <c r="P369" s="143"/>
      <c r="Q369" s="143"/>
      <c r="R369" s="143"/>
      <c r="S369" s="143"/>
      <c r="T369" s="143"/>
      <c r="U369" s="143"/>
      <c r="V369" s="143"/>
    </row>
    <row r="370" spans="1:22">
      <c r="A370" s="140"/>
      <c r="B370" s="141"/>
      <c r="C370" s="141"/>
      <c r="D370" s="140"/>
      <c r="E370" s="140"/>
      <c r="F370" s="140"/>
      <c r="G370" s="140"/>
      <c r="H370" s="143"/>
      <c r="I370" s="143"/>
      <c r="J370" s="143"/>
      <c r="K370" s="143"/>
      <c r="L370" s="143"/>
      <c r="M370" s="143"/>
      <c r="N370" s="143"/>
      <c r="O370" s="143"/>
      <c r="P370" s="143"/>
      <c r="Q370" s="143"/>
      <c r="R370" s="143"/>
      <c r="S370" s="143"/>
      <c r="T370" s="143"/>
      <c r="U370" s="143"/>
      <c r="V370" s="143"/>
    </row>
    <row r="371" spans="1:22">
      <c r="A371" s="140"/>
      <c r="B371" s="141"/>
      <c r="C371" s="141"/>
      <c r="D371" s="140"/>
      <c r="E371" s="140"/>
      <c r="F371" s="140"/>
      <c r="G371" s="140"/>
      <c r="H371" s="143"/>
      <c r="I371" s="143"/>
      <c r="J371" s="143"/>
      <c r="K371" s="143"/>
      <c r="L371" s="143"/>
      <c r="M371" s="143"/>
      <c r="N371" s="143"/>
      <c r="O371" s="143"/>
      <c r="P371" s="143"/>
      <c r="Q371" s="143"/>
      <c r="R371" s="143"/>
      <c r="S371" s="143"/>
      <c r="T371" s="143"/>
      <c r="U371" s="143"/>
      <c r="V371" s="143"/>
    </row>
    <row r="372" spans="1:22">
      <c r="A372" s="140"/>
      <c r="B372" s="141"/>
      <c r="C372" s="141"/>
      <c r="D372" s="140"/>
      <c r="E372" s="140"/>
      <c r="F372" s="140"/>
      <c r="G372" s="140"/>
      <c r="H372" s="143"/>
      <c r="I372" s="143"/>
      <c r="J372" s="143"/>
      <c r="K372" s="143"/>
      <c r="L372" s="143"/>
      <c r="M372" s="143"/>
      <c r="N372" s="143"/>
      <c r="O372" s="143"/>
      <c r="P372" s="143"/>
      <c r="Q372" s="143"/>
      <c r="R372" s="143"/>
      <c r="S372" s="143"/>
      <c r="T372" s="143"/>
      <c r="U372" s="143"/>
      <c r="V372" s="143"/>
    </row>
    <row r="373" spans="1:22">
      <c r="A373" s="140"/>
      <c r="B373" s="144"/>
      <c r="C373" s="141"/>
      <c r="D373" s="140"/>
      <c r="E373" s="140"/>
      <c r="F373" s="140"/>
      <c r="G373" s="140"/>
      <c r="H373" s="143"/>
      <c r="I373" s="143"/>
      <c r="J373" s="143"/>
      <c r="K373" s="143"/>
      <c r="L373" s="143"/>
      <c r="M373" s="143"/>
      <c r="N373" s="143"/>
      <c r="O373" s="143"/>
      <c r="P373" s="143"/>
      <c r="Q373" s="143"/>
      <c r="R373" s="143"/>
      <c r="S373" s="143"/>
      <c r="T373" s="143"/>
      <c r="U373" s="143"/>
      <c r="V373" s="143"/>
    </row>
    <row r="374" spans="1:22">
      <c r="A374" s="140"/>
      <c r="B374" s="141"/>
      <c r="C374" s="141"/>
      <c r="D374" s="140"/>
      <c r="E374" s="140"/>
      <c r="F374" s="140"/>
      <c r="G374" s="140"/>
      <c r="H374" s="143"/>
      <c r="I374" s="143"/>
      <c r="J374" s="143"/>
      <c r="K374" s="143"/>
      <c r="L374" s="143"/>
      <c r="M374" s="143"/>
      <c r="N374" s="143"/>
      <c r="O374" s="143"/>
      <c r="P374" s="143"/>
      <c r="Q374" s="143"/>
      <c r="R374" s="143"/>
      <c r="S374" s="143"/>
      <c r="T374" s="143"/>
      <c r="U374" s="143"/>
      <c r="V374" s="143"/>
    </row>
    <row r="375" spans="1:22">
      <c r="A375" s="140"/>
      <c r="B375" s="141"/>
      <c r="C375" s="141"/>
      <c r="D375" s="140"/>
      <c r="E375" s="140"/>
      <c r="F375" s="140"/>
      <c r="G375" s="140"/>
      <c r="H375" s="143"/>
      <c r="I375" s="143"/>
      <c r="J375" s="143"/>
      <c r="K375" s="143"/>
      <c r="L375" s="143"/>
      <c r="M375" s="143"/>
      <c r="N375" s="143"/>
      <c r="O375" s="143"/>
      <c r="P375" s="143"/>
      <c r="Q375" s="143"/>
      <c r="R375" s="143"/>
      <c r="S375" s="143"/>
      <c r="T375" s="143"/>
      <c r="U375" s="143"/>
      <c r="V375" s="143"/>
    </row>
    <row r="376" spans="1:22">
      <c r="A376" s="140"/>
      <c r="B376" s="141"/>
      <c r="C376" s="141"/>
      <c r="D376" s="140"/>
      <c r="E376" s="140"/>
      <c r="F376" s="140"/>
      <c r="G376" s="140"/>
      <c r="H376" s="143"/>
      <c r="I376" s="143"/>
      <c r="J376" s="143"/>
      <c r="K376" s="143"/>
      <c r="L376" s="143"/>
      <c r="M376" s="143"/>
      <c r="N376" s="143"/>
      <c r="O376" s="143"/>
      <c r="P376" s="143"/>
      <c r="Q376" s="143"/>
      <c r="R376" s="143"/>
      <c r="S376" s="143"/>
      <c r="T376" s="143"/>
      <c r="U376" s="143"/>
      <c r="V376" s="143"/>
    </row>
    <row r="377" spans="1:22">
      <c r="A377" s="140"/>
      <c r="B377" s="141"/>
      <c r="C377" s="141"/>
      <c r="D377" s="140"/>
      <c r="E377" s="140"/>
      <c r="F377" s="140"/>
      <c r="G377" s="140"/>
      <c r="H377" s="143"/>
      <c r="I377" s="143"/>
      <c r="J377" s="143"/>
      <c r="K377" s="143"/>
      <c r="L377" s="143"/>
      <c r="M377" s="143"/>
      <c r="N377" s="143"/>
      <c r="O377" s="143"/>
      <c r="P377" s="143"/>
      <c r="Q377" s="143"/>
      <c r="R377" s="143"/>
      <c r="S377" s="143"/>
      <c r="T377" s="143"/>
      <c r="U377" s="143"/>
      <c r="V377" s="143"/>
    </row>
    <row r="378" spans="1:22">
      <c r="A378" s="140"/>
      <c r="B378" s="141"/>
      <c r="C378" s="141"/>
      <c r="D378" s="140"/>
      <c r="E378" s="140"/>
      <c r="F378" s="140"/>
      <c r="G378" s="140"/>
      <c r="H378" s="143"/>
      <c r="I378" s="143"/>
      <c r="J378" s="143"/>
      <c r="K378" s="143"/>
      <c r="L378" s="143"/>
      <c r="M378" s="143"/>
      <c r="N378" s="143"/>
      <c r="O378" s="143"/>
      <c r="P378" s="143"/>
      <c r="Q378" s="143"/>
      <c r="R378" s="143"/>
      <c r="S378" s="143"/>
      <c r="T378" s="143"/>
      <c r="U378" s="143"/>
      <c r="V378" s="143"/>
    </row>
    <row r="379" spans="1:22">
      <c r="A379" s="140"/>
      <c r="B379" s="141"/>
      <c r="C379" s="141"/>
      <c r="D379" s="140"/>
      <c r="E379" s="140"/>
      <c r="F379" s="140"/>
      <c r="G379" s="140"/>
      <c r="H379" s="143"/>
      <c r="I379" s="143"/>
      <c r="J379" s="143"/>
      <c r="K379" s="143"/>
      <c r="L379" s="143"/>
      <c r="M379" s="143"/>
      <c r="N379" s="143"/>
      <c r="O379" s="143"/>
      <c r="P379" s="143"/>
      <c r="Q379" s="143"/>
      <c r="R379" s="143"/>
      <c r="S379" s="143"/>
      <c r="T379" s="143"/>
      <c r="U379" s="143"/>
      <c r="V379" s="143"/>
    </row>
    <row r="380" spans="1:22">
      <c r="A380" s="140"/>
      <c r="B380" s="141"/>
      <c r="C380" s="141"/>
      <c r="D380" s="140"/>
      <c r="E380" s="140"/>
      <c r="F380" s="140"/>
      <c r="G380" s="140"/>
      <c r="H380" s="143"/>
      <c r="I380" s="143"/>
      <c r="J380" s="143"/>
      <c r="K380" s="143"/>
      <c r="L380" s="143"/>
      <c r="M380" s="143"/>
      <c r="N380" s="143"/>
      <c r="O380" s="143"/>
      <c r="P380" s="143"/>
      <c r="Q380" s="143"/>
      <c r="R380" s="143"/>
      <c r="S380" s="143"/>
      <c r="T380" s="143"/>
      <c r="U380" s="143"/>
      <c r="V380" s="143"/>
    </row>
    <row r="381" spans="1:22">
      <c r="A381" s="140"/>
      <c r="B381" s="141"/>
      <c r="C381" s="141"/>
      <c r="D381" s="140"/>
      <c r="E381" s="140"/>
      <c r="F381" s="140"/>
      <c r="G381" s="140"/>
      <c r="H381" s="143"/>
      <c r="I381" s="143"/>
      <c r="J381" s="143"/>
      <c r="K381" s="143"/>
      <c r="L381" s="143"/>
      <c r="M381" s="143"/>
      <c r="N381" s="143"/>
      <c r="O381" s="143"/>
      <c r="P381" s="143"/>
      <c r="Q381" s="143"/>
      <c r="R381" s="143"/>
      <c r="S381" s="143"/>
      <c r="T381" s="143"/>
      <c r="U381" s="143"/>
      <c r="V381" s="143"/>
    </row>
    <row r="382" spans="1:22">
      <c r="A382" s="140"/>
      <c r="B382" s="141"/>
      <c r="C382" s="141"/>
      <c r="D382" s="140"/>
      <c r="E382" s="140"/>
      <c r="F382" s="140"/>
      <c r="G382" s="140"/>
      <c r="H382" s="143"/>
      <c r="I382" s="143"/>
      <c r="J382" s="143"/>
      <c r="K382" s="143"/>
      <c r="L382" s="143"/>
      <c r="M382" s="143"/>
      <c r="N382" s="143"/>
      <c r="O382" s="143"/>
      <c r="P382" s="143"/>
      <c r="Q382" s="143"/>
      <c r="R382" s="143"/>
      <c r="S382" s="143"/>
      <c r="T382" s="143"/>
      <c r="U382" s="143"/>
      <c r="V382" s="143"/>
    </row>
    <row r="383" spans="1:22">
      <c r="A383" s="140"/>
      <c r="B383" s="141"/>
      <c r="C383" s="141"/>
      <c r="D383" s="140"/>
      <c r="E383" s="140"/>
      <c r="F383" s="140"/>
      <c r="G383" s="140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</row>
    <row r="384" spans="1:22">
      <c r="A384" s="140"/>
      <c r="B384" s="141"/>
      <c r="C384" s="141"/>
      <c r="D384" s="140"/>
      <c r="E384" s="140"/>
      <c r="F384" s="140"/>
      <c r="G384" s="140"/>
      <c r="H384" s="143"/>
      <c r="I384" s="143"/>
      <c r="J384" s="143"/>
      <c r="K384" s="143"/>
      <c r="L384" s="143"/>
      <c r="M384" s="143"/>
      <c r="N384" s="143"/>
      <c r="O384" s="143"/>
      <c r="P384" s="143"/>
      <c r="Q384" s="143"/>
      <c r="R384" s="143"/>
      <c r="S384" s="143"/>
      <c r="T384" s="143"/>
      <c r="U384" s="143"/>
      <c r="V384" s="143"/>
    </row>
    <row r="385" spans="1:22">
      <c r="A385" s="140"/>
      <c r="B385" s="141"/>
      <c r="C385" s="141"/>
      <c r="D385" s="140"/>
      <c r="E385" s="140"/>
      <c r="F385" s="140"/>
      <c r="G385" s="140"/>
      <c r="H385" s="143"/>
      <c r="I385" s="143"/>
      <c r="J385" s="143"/>
      <c r="K385" s="143"/>
      <c r="L385" s="143"/>
      <c r="M385" s="143"/>
      <c r="N385" s="143"/>
      <c r="O385" s="143"/>
      <c r="P385" s="143"/>
      <c r="Q385" s="143"/>
      <c r="R385" s="143"/>
      <c r="S385" s="143"/>
      <c r="T385" s="143"/>
      <c r="U385" s="143"/>
      <c r="V385" s="143"/>
    </row>
    <row r="386" spans="1:22">
      <c r="A386" s="140"/>
      <c r="B386" s="141"/>
      <c r="C386" s="141"/>
      <c r="D386" s="140"/>
      <c r="E386" s="140"/>
      <c r="F386" s="140"/>
      <c r="G386" s="140"/>
      <c r="H386" s="143"/>
      <c r="I386" s="143"/>
      <c r="J386" s="143"/>
      <c r="K386" s="143"/>
      <c r="L386" s="143"/>
      <c r="M386" s="143"/>
      <c r="N386" s="143"/>
      <c r="O386" s="143"/>
      <c r="P386" s="143"/>
      <c r="Q386" s="143"/>
      <c r="R386" s="143"/>
      <c r="S386" s="143"/>
      <c r="T386" s="143"/>
      <c r="U386" s="143"/>
      <c r="V386" s="143"/>
    </row>
    <row r="387" spans="1:22">
      <c r="A387" s="140"/>
      <c r="B387" s="141"/>
      <c r="C387" s="141"/>
      <c r="H387" s="38"/>
    </row>
    <row r="388" spans="1:22">
      <c r="A388" s="140"/>
      <c r="B388" s="141"/>
      <c r="C388" s="141"/>
      <c r="H388" s="38"/>
    </row>
    <row r="389" spans="1:22">
      <c r="A389" s="140"/>
      <c r="B389" s="141"/>
      <c r="C389" s="141"/>
      <c r="H389" s="38"/>
    </row>
    <row r="390" spans="1:22">
      <c r="A390" s="140"/>
      <c r="B390" s="141"/>
      <c r="C390" s="141"/>
      <c r="H390" s="38"/>
    </row>
    <row r="391" spans="1:22">
      <c r="H391" s="38"/>
    </row>
    <row r="392" spans="1:22">
      <c r="H392" s="38"/>
    </row>
  </sheetData>
  <mergeCells count="448">
    <mergeCell ref="B355:C355"/>
    <mergeCell ref="B356:C356"/>
    <mergeCell ref="B357:C357"/>
    <mergeCell ref="B358:C358"/>
    <mergeCell ref="B350:C350"/>
    <mergeCell ref="B351:C351"/>
    <mergeCell ref="B352:C352"/>
    <mergeCell ref="B353:C353"/>
    <mergeCell ref="A354:C354"/>
    <mergeCell ref="E354:F354"/>
    <mergeCell ref="B345:C345"/>
    <mergeCell ref="B346:C346"/>
    <mergeCell ref="B347:C347"/>
    <mergeCell ref="B348:C348"/>
    <mergeCell ref="A349:C349"/>
    <mergeCell ref="E349:F349"/>
    <mergeCell ref="B338:C338"/>
    <mergeCell ref="B339:C339"/>
    <mergeCell ref="B340:C340"/>
    <mergeCell ref="B341:C341"/>
    <mergeCell ref="A344:C344"/>
    <mergeCell ref="E344:F344"/>
    <mergeCell ref="B333:C333"/>
    <mergeCell ref="B334:C334"/>
    <mergeCell ref="B335:C335"/>
    <mergeCell ref="B336:C336"/>
    <mergeCell ref="A337:C337"/>
    <mergeCell ref="E337:F337"/>
    <mergeCell ref="B328:C328"/>
    <mergeCell ref="B329:C329"/>
    <mergeCell ref="B330:C330"/>
    <mergeCell ref="B331:C331"/>
    <mergeCell ref="A332:C332"/>
    <mergeCell ref="E332:F332"/>
    <mergeCell ref="A308:B308"/>
    <mergeCell ref="A309:B309"/>
    <mergeCell ref="A312:B312"/>
    <mergeCell ref="A319:G319"/>
    <mergeCell ref="A320:B320"/>
    <mergeCell ref="A327:C327"/>
    <mergeCell ref="E327:F327"/>
    <mergeCell ref="B295:C295"/>
    <mergeCell ref="A298:G298"/>
    <mergeCell ref="A299:G299"/>
    <mergeCell ref="A301:G301"/>
    <mergeCell ref="A303:B303"/>
    <mergeCell ref="A305:B305"/>
    <mergeCell ref="B290:C290"/>
    <mergeCell ref="A291:C291"/>
    <mergeCell ref="E291:F291"/>
    <mergeCell ref="B292:C292"/>
    <mergeCell ref="B293:C293"/>
    <mergeCell ref="B294:C294"/>
    <mergeCell ref="B285:C285"/>
    <mergeCell ref="A286:C286"/>
    <mergeCell ref="E286:F286"/>
    <mergeCell ref="B287:C287"/>
    <mergeCell ref="B288:C288"/>
    <mergeCell ref="B289:C289"/>
    <mergeCell ref="E279:F279"/>
    <mergeCell ref="A281:C281"/>
    <mergeCell ref="E281:F281"/>
    <mergeCell ref="B282:C282"/>
    <mergeCell ref="B283:C283"/>
    <mergeCell ref="B284:C284"/>
    <mergeCell ref="D275:D278"/>
    <mergeCell ref="E275:F278"/>
    <mergeCell ref="G275:G278"/>
    <mergeCell ref="A276:C276"/>
    <mergeCell ref="A277:C277"/>
    <mergeCell ref="B278:C278"/>
    <mergeCell ref="D271:D274"/>
    <mergeCell ref="E271:F274"/>
    <mergeCell ref="G271:G274"/>
    <mergeCell ref="A272:C272"/>
    <mergeCell ref="B273:C273"/>
    <mergeCell ref="A274:C274"/>
    <mergeCell ref="D267:D270"/>
    <mergeCell ref="E267:F270"/>
    <mergeCell ref="G267:G270"/>
    <mergeCell ref="A268:C268"/>
    <mergeCell ref="B269:C269"/>
    <mergeCell ref="A270:C270"/>
    <mergeCell ref="D263:D266"/>
    <mergeCell ref="E263:F266"/>
    <mergeCell ref="G263:G266"/>
    <mergeCell ref="A264:C264"/>
    <mergeCell ref="B265:C265"/>
    <mergeCell ref="A266:C266"/>
    <mergeCell ref="D259:D262"/>
    <mergeCell ref="E259:F262"/>
    <mergeCell ref="G259:G262"/>
    <mergeCell ref="A260:C260"/>
    <mergeCell ref="B261:C261"/>
    <mergeCell ref="A262:C262"/>
    <mergeCell ref="D255:D258"/>
    <mergeCell ref="E255:F258"/>
    <mergeCell ref="G255:G258"/>
    <mergeCell ref="A256:C256"/>
    <mergeCell ref="B257:C257"/>
    <mergeCell ref="A258:C258"/>
    <mergeCell ref="D251:D254"/>
    <mergeCell ref="E251:F254"/>
    <mergeCell ref="G251:G254"/>
    <mergeCell ref="A252:C252"/>
    <mergeCell ref="B253:C253"/>
    <mergeCell ref="A254:C254"/>
    <mergeCell ref="D247:D250"/>
    <mergeCell ref="E247:F250"/>
    <mergeCell ref="G247:G250"/>
    <mergeCell ref="A248:C248"/>
    <mergeCell ref="A249:C249"/>
    <mergeCell ref="B250:C250"/>
    <mergeCell ref="D243:D246"/>
    <mergeCell ref="E243:F246"/>
    <mergeCell ref="G243:G246"/>
    <mergeCell ref="A244:C244"/>
    <mergeCell ref="B245:C245"/>
    <mergeCell ref="A246:C246"/>
    <mergeCell ref="D238:D242"/>
    <mergeCell ref="E238:F242"/>
    <mergeCell ref="G238:G242"/>
    <mergeCell ref="A239:C239"/>
    <mergeCell ref="A240:C240"/>
    <mergeCell ref="B241:C241"/>
    <mergeCell ref="B242:C242"/>
    <mergeCell ref="D233:D237"/>
    <mergeCell ref="E233:F237"/>
    <mergeCell ref="G233:G237"/>
    <mergeCell ref="A234:C234"/>
    <mergeCell ref="B235:C235"/>
    <mergeCell ref="B236:C236"/>
    <mergeCell ref="A237:C237"/>
    <mergeCell ref="D228:D232"/>
    <mergeCell ref="E228:F232"/>
    <mergeCell ref="G228:G232"/>
    <mergeCell ref="A229:C229"/>
    <mergeCell ref="B230:C230"/>
    <mergeCell ref="B231:C231"/>
    <mergeCell ref="A232:C232"/>
    <mergeCell ref="D222:D227"/>
    <mergeCell ref="E222:F227"/>
    <mergeCell ref="G222:G227"/>
    <mergeCell ref="A223:C223"/>
    <mergeCell ref="A224:C224"/>
    <mergeCell ref="B225:C225"/>
    <mergeCell ref="B226:C226"/>
    <mergeCell ref="B227:C227"/>
    <mergeCell ref="D217:D221"/>
    <mergeCell ref="E217:F221"/>
    <mergeCell ref="G217:G221"/>
    <mergeCell ref="A218:C218"/>
    <mergeCell ref="B219:C219"/>
    <mergeCell ref="A220:C220"/>
    <mergeCell ref="B221:C221"/>
    <mergeCell ref="D212:D216"/>
    <mergeCell ref="E212:F216"/>
    <mergeCell ref="G212:G216"/>
    <mergeCell ref="A213:C213"/>
    <mergeCell ref="B214:C214"/>
    <mergeCell ref="A215:C215"/>
    <mergeCell ref="B216:C216"/>
    <mergeCell ref="D208:D211"/>
    <mergeCell ref="E208:F211"/>
    <mergeCell ref="G208:G211"/>
    <mergeCell ref="A209:C209"/>
    <mergeCell ref="B210:C210"/>
    <mergeCell ref="A211:C211"/>
    <mergeCell ref="E204:F204"/>
    <mergeCell ref="A205:G205"/>
    <mergeCell ref="A206:C206"/>
    <mergeCell ref="E206:F206"/>
    <mergeCell ref="A207:C207"/>
    <mergeCell ref="E207:F207"/>
    <mergeCell ref="E200:F200"/>
    <mergeCell ref="A201:G201"/>
    <mergeCell ref="A202:C202"/>
    <mergeCell ref="E202:F202"/>
    <mergeCell ref="A203:C203"/>
    <mergeCell ref="E203:F203"/>
    <mergeCell ref="D195:D199"/>
    <mergeCell ref="E195:F199"/>
    <mergeCell ref="G195:G199"/>
    <mergeCell ref="A196:C196"/>
    <mergeCell ref="B197:C197"/>
    <mergeCell ref="B198:C198"/>
    <mergeCell ref="A199:C199"/>
    <mergeCell ref="D188:D194"/>
    <mergeCell ref="E188:F194"/>
    <mergeCell ref="G188:G194"/>
    <mergeCell ref="A189:C189"/>
    <mergeCell ref="B190:C190"/>
    <mergeCell ref="B191:C191"/>
    <mergeCell ref="A192:C192"/>
    <mergeCell ref="B193:C193"/>
    <mergeCell ref="B194:C194"/>
    <mergeCell ref="D181:D187"/>
    <mergeCell ref="E181:F187"/>
    <mergeCell ref="G181:G187"/>
    <mergeCell ref="A182:C182"/>
    <mergeCell ref="B183:C183"/>
    <mergeCell ref="A185:C185"/>
    <mergeCell ref="B186:C186"/>
    <mergeCell ref="D176:D180"/>
    <mergeCell ref="E176:F180"/>
    <mergeCell ref="G176:G180"/>
    <mergeCell ref="A177:C177"/>
    <mergeCell ref="B179:C179"/>
    <mergeCell ref="A180:C180"/>
    <mergeCell ref="D171:D175"/>
    <mergeCell ref="E171:F175"/>
    <mergeCell ref="G171:G175"/>
    <mergeCell ref="A172:C172"/>
    <mergeCell ref="B173:C173"/>
    <mergeCell ref="A174:C174"/>
    <mergeCell ref="B175:C175"/>
    <mergeCell ref="D166:D170"/>
    <mergeCell ref="E166:F170"/>
    <mergeCell ref="G166:G170"/>
    <mergeCell ref="A167:C167"/>
    <mergeCell ref="B169:C169"/>
    <mergeCell ref="A170:C170"/>
    <mergeCell ref="D161:D165"/>
    <mergeCell ref="E161:F165"/>
    <mergeCell ref="G161:G165"/>
    <mergeCell ref="A162:C162"/>
    <mergeCell ref="B164:C164"/>
    <mergeCell ref="A165:C165"/>
    <mergeCell ref="D155:D160"/>
    <mergeCell ref="E155:F160"/>
    <mergeCell ref="G155:G160"/>
    <mergeCell ref="A156:C156"/>
    <mergeCell ref="A157:C157"/>
    <mergeCell ref="B158:C158"/>
    <mergeCell ref="B159:C159"/>
    <mergeCell ref="B160:C160"/>
    <mergeCell ref="D150:D154"/>
    <mergeCell ref="E150:F154"/>
    <mergeCell ref="G150:G154"/>
    <mergeCell ref="A151:C151"/>
    <mergeCell ref="B152:C152"/>
    <mergeCell ref="A153:C153"/>
    <mergeCell ref="B154:C154"/>
    <mergeCell ref="D143:D149"/>
    <mergeCell ref="E143:F149"/>
    <mergeCell ref="G143:G149"/>
    <mergeCell ref="A144:C144"/>
    <mergeCell ref="B145:C145"/>
    <mergeCell ref="B146:C146"/>
    <mergeCell ref="A147:C147"/>
    <mergeCell ref="B148:C148"/>
    <mergeCell ref="B149:C149"/>
    <mergeCell ref="D136:D142"/>
    <mergeCell ref="E136:F142"/>
    <mergeCell ref="G136:G142"/>
    <mergeCell ref="A137:C137"/>
    <mergeCell ref="B138:C138"/>
    <mergeCell ref="A139:C139"/>
    <mergeCell ref="B140:C140"/>
    <mergeCell ref="B141:C141"/>
    <mergeCell ref="B142:C142"/>
    <mergeCell ref="D130:D135"/>
    <mergeCell ref="E130:F135"/>
    <mergeCell ref="G130:G135"/>
    <mergeCell ref="A131:C131"/>
    <mergeCell ref="B132:C132"/>
    <mergeCell ref="A133:C133"/>
    <mergeCell ref="B134:C134"/>
    <mergeCell ref="B135:C135"/>
    <mergeCell ref="D123:D129"/>
    <mergeCell ref="E123:F129"/>
    <mergeCell ref="G123:G129"/>
    <mergeCell ref="A124:C124"/>
    <mergeCell ref="B125:C125"/>
    <mergeCell ref="A126:C126"/>
    <mergeCell ref="B127:C127"/>
    <mergeCell ref="B128:C128"/>
    <mergeCell ref="B129:C129"/>
    <mergeCell ref="D117:D122"/>
    <mergeCell ref="E117:F122"/>
    <mergeCell ref="G117:G122"/>
    <mergeCell ref="A118:C118"/>
    <mergeCell ref="A119:C119"/>
    <mergeCell ref="B120:C120"/>
    <mergeCell ref="B121:C121"/>
    <mergeCell ref="D111:D116"/>
    <mergeCell ref="E111:F116"/>
    <mergeCell ref="G111:G116"/>
    <mergeCell ref="A112:C112"/>
    <mergeCell ref="A113:C113"/>
    <mergeCell ref="B114:C114"/>
    <mergeCell ref="B115:C115"/>
    <mergeCell ref="B116:C116"/>
    <mergeCell ref="D106:D110"/>
    <mergeCell ref="E106:F110"/>
    <mergeCell ref="G106:G110"/>
    <mergeCell ref="A107:C107"/>
    <mergeCell ref="A108:C108"/>
    <mergeCell ref="B109:C109"/>
    <mergeCell ref="B110:C110"/>
    <mergeCell ref="D100:D105"/>
    <mergeCell ref="E100:F105"/>
    <mergeCell ref="G100:G105"/>
    <mergeCell ref="A101:C101"/>
    <mergeCell ref="A102:C102"/>
    <mergeCell ref="B103:C103"/>
    <mergeCell ref="B104:C104"/>
    <mergeCell ref="B105:C105"/>
    <mergeCell ref="D94:D99"/>
    <mergeCell ref="E94:F99"/>
    <mergeCell ref="G94:G99"/>
    <mergeCell ref="A95:C95"/>
    <mergeCell ref="A96:C96"/>
    <mergeCell ref="B97:C97"/>
    <mergeCell ref="B98:C98"/>
    <mergeCell ref="B99:C99"/>
    <mergeCell ref="D88:D93"/>
    <mergeCell ref="E88:F93"/>
    <mergeCell ref="G88:G93"/>
    <mergeCell ref="A89:C89"/>
    <mergeCell ref="A90:C90"/>
    <mergeCell ref="B91:C91"/>
    <mergeCell ref="B92:C92"/>
    <mergeCell ref="B93:C93"/>
    <mergeCell ref="D80:D87"/>
    <mergeCell ref="E80:F87"/>
    <mergeCell ref="G80:G87"/>
    <mergeCell ref="A81:C81"/>
    <mergeCell ref="B82:C82"/>
    <mergeCell ref="A83:C83"/>
    <mergeCell ref="B84:C84"/>
    <mergeCell ref="B85:C85"/>
    <mergeCell ref="B86:C86"/>
    <mergeCell ref="B87:C87"/>
    <mergeCell ref="D72:D79"/>
    <mergeCell ref="E72:F79"/>
    <mergeCell ref="G72:G79"/>
    <mergeCell ref="A73:C73"/>
    <mergeCell ref="B74:C74"/>
    <mergeCell ref="B75:C75"/>
    <mergeCell ref="A76:C76"/>
    <mergeCell ref="B77:C77"/>
    <mergeCell ref="B78:C78"/>
    <mergeCell ref="B79:C79"/>
    <mergeCell ref="D66:D71"/>
    <mergeCell ref="E66:F71"/>
    <mergeCell ref="G66:G71"/>
    <mergeCell ref="A67:C67"/>
    <mergeCell ref="B68:C68"/>
    <mergeCell ref="B69:C69"/>
    <mergeCell ref="B70:C70"/>
    <mergeCell ref="A71:C71"/>
    <mergeCell ref="D59:D65"/>
    <mergeCell ref="E59:F65"/>
    <mergeCell ref="G59:G65"/>
    <mergeCell ref="A60:C60"/>
    <mergeCell ref="B61:C61"/>
    <mergeCell ref="B62:C62"/>
    <mergeCell ref="A63:C63"/>
    <mergeCell ref="B64:C64"/>
    <mergeCell ref="B65:C65"/>
    <mergeCell ref="D52:D58"/>
    <mergeCell ref="E52:F58"/>
    <mergeCell ref="G52:G58"/>
    <mergeCell ref="A53:C53"/>
    <mergeCell ref="B54:C54"/>
    <mergeCell ref="B55:C55"/>
    <mergeCell ref="A56:C56"/>
    <mergeCell ref="B57:C57"/>
    <mergeCell ref="B58:C58"/>
    <mergeCell ref="D47:D51"/>
    <mergeCell ref="E47:F51"/>
    <mergeCell ref="G47:G51"/>
    <mergeCell ref="A48:C48"/>
    <mergeCell ref="A49:C49"/>
    <mergeCell ref="B50:C50"/>
    <mergeCell ref="B51:C51"/>
    <mergeCell ref="D42:D46"/>
    <mergeCell ref="E42:F46"/>
    <mergeCell ref="G42:G46"/>
    <mergeCell ref="A43:C43"/>
    <mergeCell ref="A44:C44"/>
    <mergeCell ref="B45:C45"/>
    <mergeCell ref="B46:C46"/>
    <mergeCell ref="D37:D41"/>
    <mergeCell ref="E37:F41"/>
    <mergeCell ref="G37:G41"/>
    <mergeCell ref="A38:C38"/>
    <mergeCell ref="A39:C39"/>
    <mergeCell ref="B40:C40"/>
    <mergeCell ref="B41:C41"/>
    <mergeCell ref="D32:D36"/>
    <mergeCell ref="E32:F36"/>
    <mergeCell ref="G32:G36"/>
    <mergeCell ref="A33:C33"/>
    <mergeCell ref="A34:C34"/>
    <mergeCell ref="B35:C35"/>
    <mergeCell ref="B36:C36"/>
    <mergeCell ref="D27:D31"/>
    <mergeCell ref="E27:F31"/>
    <mergeCell ref="G27:G31"/>
    <mergeCell ref="A28:C28"/>
    <mergeCell ref="A29:C29"/>
    <mergeCell ref="B30:C30"/>
    <mergeCell ref="B31:C31"/>
    <mergeCell ref="D22:D26"/>
    <mergeCell ref="E22:F26"/>
    <mergeCell ref="G22:G26"/>
    <mergeCell ref="A23:C23"/>
    <mergeCell ref="A24:C24"/>
    <mergeCell ref="B25:C25"/>
    <mergeCell ref="B26:C26"/>
    <mergeCell ref="D17:D21"/>
    <mergeCell ref="E17:F21"/>
    <mergeCell ref="G17:G21"/>
    <mergeCell ref="A18:C18"/>
    <mergeCell ref="A19:C19"/>
    <mergeCell ref="B20:C20"/>
    <mergeCell ref="B21:C21"/>
    <mergeCell ref="D12:D16"/>
    <mergeCell ref="E12:F16"/>
    <mergeCell ref="G12:G16"/>
    <mergeCell ref="A13:C13"/>
    <mergeCell ref="A14:C14"/>
    <mergeCell ref="B15:C15"/>
    <mergeCell ref="B16:C16"/>
    <mergeCell ref="E8:F8"/>
    <mergeCell ref="A9:G9"/>
    <mergeCell ref="A10:C10"/>
    <mergeCell ref="E10:F10"/>
    <mergeCell ref="A11:C11"/>
    <mergeCell ref="E11:F11"/>
    <mergeCell ref="V2:V3"/>
    <mergeCell ref="E4:F4"/>
    <mergeCell ref="A5:G5"/>
    <mergeCell ref="A6:C6"/>
    <mergeCell ref="E6:F6"/>
    <mergeCell ref="A7:C7"/>
    <mergeCell ref="E7:F7"/>
    <mergeCell ref="P1:T1"/>
    <mergeCell ref="A2:A3"/>
    <mergeCell ref="B2:B3"/>
    <mergeCell ref="C2:C3"/>
    <mergeCell ref="D2:D3"/>
    <mergeCell ref="E2:F3"/>
    <mergeCell ref="G2:G3"/>
    <mergeCell ref="H2:H3"/>
    <mergeCell ref="I2:U2"/>
  </mergeCells>
  <pageMargins left="0" right="0" top="7.874015748031496E-2" bottom="0.39370078740157483" header="0.31496062992125984" footer="0.31496062992125984"/>
  <pageSetup paperSize="9" scale="53" orientation="landscape" r:id="rId1"/>
  <headerFooter>
    <oddFooter>Strona &amp;P z &amp;N</oddFooter>
  </headerFooter>
  <rowBreaks count="4" manualBreakCount="4">
    <brk id="65" max="21" man="1"/>
    <brk id="175" max="21" man="1"/>
    <brk id="204" max="21" man="1"/>
    <brk id="270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Zał Nr 1a marzec Szpital Kr</vt:lpstr>
      <vt:lpstr>Zał Nr 2 marzec</vt:lpstr>
      <vt:lpstr>Zał Nr 1 do uzas. marzec</vt:lpstr>
      <vt:lpstr>Zał Nr 2 do uzas. marzec </vt:lpstr>
      <vt:lpstr>'Zał Nr 1 do uzas. marzec'!Obszar_wydruku</vt:lpstr>
      <vt:lpstr>'Zał Nr 1a marzec Szpital Kr'!Obszar_wydruku</vt:lpstr>
      <vt:lpstr>'Zał Nr 2 do uzas. marzec '!Obszar_wydruku</vt:lpstr>
      <vt:lpstr>'Zał Nr 2 marzec'!Obszar_wydruku</vt:lpstr>
      <vt:lpstr>'Zał Nr 1 do uzas. marzec'!Tytuły_wydruku</vt:lpstr>
      <vt:lpstr>'Zał Nr 1a marzec Szpital Kr'!Tytuły_wydruku</vt:lpstr>
      <vt:lpstr>'Zał Nr 2 do uzas. marzec '!Tytuły_wydruku</vt:lpstr>
      <vt:lpstr>'Zał Nr 2 marzec'!Tytuły_wydruku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d.gruszczynska</dc:creator>
  <cp:lastModifiedBy>e.foremny</cp:lastModifiedBy>
  <cp:lastPrinted>2013-03-11T12:53:45Z</cp:lastPrinted>
  <dcterms:created xsi:type="dcterms:W3CDTF">2010-10-15T07:12:31Z</dcterms:created>
  <dcterms:modified xsi:type="dcterms:W3CDTF">2013-03-12T13:09:26Z</dcterms:modified>
</cp:coreProperties>
</file>